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Z:\hdd2\Аналитический отдел\Краткосрочный план 2026-2028\Все изменения 2026-2028\529 от 29.09.2026\"/>
    </mc:Choice>
  </mc:AlternateContent>
  <xr:revisionPtr revIDLastSave="0" documentId="8_{6800B171-E639-48BE-AB41-309B7BCC42E4}" xr6:coauthVersionLast="45" xr6:coauthVersionMax="45" xr10:uidLastSave="{00000000-0000-0000-0000-000000000000}"/>
  <bookViews>
    <workbookView xWindow="-120" yWindow="-120" windowWidth="29040" windowHeight="15840" activeTab="2" xr2:uid="{00000000-000D-0000-FFFF-FFFF00000000}"/>
  </bookViews>
  <sheets>
    <sheet name="Таблица 1" sheetId="1" r:id="rId1"/>
    <sheet name="Таблица 2" sheetId="2" r:id="rId2"/>
    <sheet name="Таблица 3 " sheetId="3" r:id="rId3"/>
  </sheets>
  <definedNames>
    <definedName name="_xlnm._FilterDatabase" localSheetId="0" hidden="1">'Таблица 1'!$A$18:$V$956</definedName>
    <definedName name="_xlnm._FilterDatabase" localSheetId="2" hidden="1">'Таблица 3 '!$A$4:$T$696</definedName>
    <definedName name="JR_PAGE_ANCHOR_0_1">#REF!</definedName>
    <definedName name="а">#REF!</definedName>
    <definedName name="_xlnm.Print_Area" localSheetId="0">'Таблица 1'!$A$1:$V$1044</definedName>
    <definedName name="_xlnm.Print_Area" localSheetId="1">'Таблица 2'!$A$1:$N$104</definedName>
    <definedName name="_xlnm.Print_Area" localSheetId="2">'Таблица 3 '!$A$1:$T$1051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1030" i="3" l="1"/>
  <c r="C1030" i="3" s="1"/>
  <c r="C1029" i="3" s="1"/>
  <c r="T1029" i="3"/>
  <c r="S1029" i="3"/>
  <c r="R1029" i="3"/>
  <c r="Q1029" i="3"/>
  <c r="P1029" i="3"/>
  <c r="O1029" i="3"/>
  <c r="N1029" i="3"/>
  <c r="M1029" i="3"/>
  <c r="L1029" i="3"/>
  <c r="K1029" i="3"/>
  <c r="J1029" i="3"/>
  <c r="I1029" i="3"/>
  <c r="H1029" i="3"/>
  <c r="G1029" i="3"/>
  <c r="F1029" i="3"/>
  <c r="E1029" i="3"/>
  <c r="D1029" i="3"/>
  <c r="D1028" i="3"/>
  <c r="C1028" i="3" s="1"/>
  <c r="D1027" i="3"/>
  <c r="C1027" i="3"/>
  <c r="C1026" i="3" s="1"/>
  <c r="T1026" i="3"/>
  <c r="S1026" i="3"/>
  <c r="R1026" i="3"/>
  <c r="Q1026" i="3"/>
  <c r="P1026" i="3"/>
  <c r="O1026" i="3"/>
  <c r="N1026" i="3"/>
  <c r="M1026" i="3"/>
  <c r="L1026" i="3"/>
  <c r="K1026" i="3"/>
  <c r="J1026" i="3"/>
  <c r="I1026" i="3"/>
  <c r="H1026" i="3"/>
  <c r="G1026" i="3"/>
  <c r="F1026" i="3"/>
  <c r="E1026" i="3"/>
  <c r="D1026" i="3"/>
  <c r="D1025" i="3"/>
  <c r="D1024" i="3"/>
  <c r="C1024" i="3" s="1"/>
  <c r="Q1035" i="1" s="1"/>
  <c r="D1023" i="3"/>
  <c r="C1023" i="3"/>
  <c r="T1022" i="3"/>
  <c r="S1022" i="3"/>
  <c r="S1021" i="3" s="1"/>
  <c r="R1022" i="3"/>
  <c r="R1021" i="3" s="1"/>
  <c r="Q1022" i="3"/>
  <c r="Q1021" i="3" s="1"/>
  <c r="P1022" i="3"/>
  <c r="P1021" i="3" s="1"/>
  <c r="O1022" i="3"/>
  <c r="N1022" i="3"/>
  <c r="M1022" i="3"/>
  <c r="M1021" i="3" s="1"/>
  <c r="L1022" i="3"/>
  <c r="K1022" i="3"/>
  <c r="K1021" i="3" s="1"/>
  <c r="J1022" i="3"/>
  <c r="J1021" i="3" s="1"/>
  <c r="I1022" i="3"/>
  <c r="I1021" i="3" s="1"/>
  <c r="H1022" i="3"/>
  <c r="H1021" i="3" s="1"/>
  <c r="G1022" i="3"/>
  <c r="F1022" i="3"/>
  <c r="E1022" i="3"/>
  <c r="E1021" i="3" s="1"/>
  <c r="T1021" i="3"/>
  <c r="O1021" i="3"/>
  <c r="N1021" i="3"/>
  <c r="L1021" i="3"/>
  <c r="G1021" i="3"/>
  <c r="F1021" i="3"/>
  <c r="D1020" i="3"/>
  <c r="C1020" i="3" s="1"/>
  <c r="D1019" i="3"/>
  <c r="C1019" i="3"/>
  <c r="C1018" i="3" s="1"/>
  <c r="T1018" i="3"/>
  <c r="S1018" i="3"/>
  <c r="R1018" i="3"/>
  <c r="Q1018" i="3"/>
  <c r="P1018" i="3"/>
  <c r="O1018" i="3"/>
  <c r="N1018" i="3"/>
  <c r="M1018" i="3"/>
  <c r="L1018" i="3"/>
  <c r="K1018" i="3"/>
  <c r="J1018" i="3"/>
  <c r="I1018" i="3"/>
  <c r="H1018" i="3"/>
  <c r="G1018" i="3"/>
  <c r="F1018" i="3"/>
  <c r="E1018" i="3"/>
  <c r="D1018" i="3"/>
  <c r="D1017" i="3"/>
  <c r="C1017" i="3" s="1"/>
  <c r="D1016" i="3"/>
  <c r="C1016" i="3" s="1"/>
  <c r="D1015" i="3"/>
  <c r="C1015" i="3"/>
  <c r="D1014" i="3"/>
  <c r="C1014" i="3" s="1"/>
  <c r="T1013" i="3"/>
  <c r="S1013" i="3"/>
  <c r="R1013" i="3"/>
  <c r="Q1013" i="3"/>
  <c r="P1013" i="3"/>
  <c r="O1013" i="3"/>
  <c r="N1013" i="3"/>
  <c r="M1013" i="3"/>
  <c r="L1013" i="3"/>
  <c r="K1013" i="3"/>
  <c r="J1013" i="3"/>
  <c r="I1013" i="3"/>
  <c r="H1013" i="3"/>
  <c r="G1013" i="3"/>
  <c r="F1013" i="3"/>
  <c r="E1013" i="3"/>
  <c r="D1012" i="3"/>
  <c r="C1012" i="3" s="1"/>
  <c r="D1011" i="3"/>
  <c r="C1011" i="3"/>
  <c r="D1010" i="3"/>
  <c r="C1010" i="3" s="1"/>
  <c r="D1009" i="3"/>
  <c r="C1009" i="3" s="1"/>
  <c r="D1008" i="3"/>
  <c r="C1008" i="3" s="1"/>
  <c r="D1007" i="3"/>
  <c r="C1007" i="3"/>
  <c r="D1006" i="3"/>
  <c r="C1006" i="3" s="1"/>
  <c r="D1005" i="3"/>
  <c r="C1005" i="3" s="1"/>
  <c r="D1004" i="3"/>
  <c r="C1004" i="3" s="1"/>
  <c r="D1003" i="3"/>
  <c r="C1003" i="3"/>
  <c r="D1002" i="3"/>
  <c r="C1002" i="3" s="1"/>
  <c r="D1001" i="3"/>
  <c r="D1000" i="3"/>
  <c r="C1000" i="3" s="1"/>
  <c r="D999" i="3"/>
  <c r="C999" i="3"/>
  <c r="T998" i="3"/>
  <c r="S998" i="3"/>
  <c r="R998" i="3"/>
  <c r="Q998" i="3"/>
  <c r="P998" i="3"/>
  <c r="O998" i="3"/>
  <c r="N998" i="3"/>
  <c r="M998" i="3"/>
  <c r="M950" i="3" s="1"/>
  <c r="L998" i="3"/>
  <c r="K998" i="3"/>
  <c r="J998" i="3"/>
  <c r="I998" i="3"/>
  <c r="H998" i="3"/>
  <c r="G998" i="3"/>
  <c r="F998" i="3"/>
  <c r="E998" i="3"/>
  <c r="E950" i="3" s="1"/>
  <c r="D997" i="3"/>
  <c r="C997" i="3" s="1"/>
  <c r="D996" i="3"/>
  <c r="C996" i="3" s="1"/>
  <c r="T995" i="3"/>
  <c r="S995" i="3"/>
  <c r="R995" i="3"/>
  <c r="Q995" i="3"/>
  <c r="P995" i="3"/>
  <c r="O995" i="3"/>
  <c r="N995" i="3"/>
  <c r="M995" i="3"/>
  <c r="L995" i="3"/>
  <c r="K995" i="3"/>
  <c r="J995" i="3"/>
  <c r="I995" i="3"/>
  <c r="H995" i="3"/>
  <c r="G995" i="3"/>
  <c r="F995" i="3"/>
  <c r="E995" i="3"/>
  <c r="C995" i="3"/>
  <c r="D994" i="3"/>
  <c r="C994" i="3" s="1"/>
  <c r="C993" i="3" s="1"/>
  <c r="T993" i="3"/>
  <c r="S993" i="3"/>
  <c r="R993" i="3"/>
  <c r="Q993" i="3"/>
  <c r="P993" i="3"/>
  <c r="O993" i="3"/>
  <c r="N993" i="3"/>
  <c r="M993" i="3"/>
  <c r="L993" i="3"/>
  <c r="K993" i="3"/>
  <c r="J993" i="3"/>
  <c r="I993" i="3"/>
  <c r="H993" i="3"/>
  <c r="G993" i="3"/>
  <c r="F993" i="3"/>
  <c r="E993" i="3"/>
  <c r="D993" i="3"/>
  <c r="D992" i="3"/>
  <c r="C992" i="3" s="1"/>
  <c r="T991" i="3"/>
  <c r="S991" i="3"/>
  <c r="R991" i="3"/>
  <c r="Q991" i="3"/>
  <c r="P991" i="3"/>
  <c r="O991" i="3"/>
  <c r="N991" i="3"/>
  <c r="M991" i="3"/>
  <c r="L991" i="3"/>
  <c r="K991" i="3"/>
  <c r="J991" i="3"/>
  <c r="I991" i="3"/>
  <c r="H991" i="3"/>
  <c r="G991" i="3"/>
  <c r="F991" i="3"/>
  <c r="E991" i="3"/>
  <c r="C991" i="3"/>
  <c r="D990" i="3"/>
  <c r="C990" i="3" s="1"/>
  <c r="C989" i="3" s="1"/>
  <c r="T989" i="3"/>
  <c r="S989" i="3"/>
  <c r="R989" i="3"/>
  <c r="Q989" i="3"/>
  <c r="P989" i="3"/>
  <c r="O989" i="3"/>
  <c r="N989" i="3"/>
  <c r="M989" i="3"/>
  <c r="L989" i="3"/>
  <c r="K989" i="3"/>
  <c r="J989" i="3"/>
  <c r="I989" i="3"/>
  <c r="H989" i="3"/>
  <c r="G989" i="3"/>
  <c r="F989" i="3"/>
  <c r="E989" i="3"/>
  <c r="D989" i="3"/>
  <c r="D988" i="3"/>
  <c r="C988" i="3" s="1"/>
  <c r="D987" i="3"/>
  <c r="C987" i="3"/>
  <c r="D986" i="3"/>
  <c r="C986" i="3" s="1"/>
  <c r="K985" i="3"/>
  <c r="K951" i="3" s="1"/>
  <c r="D985" i="3"/>
  <c r="C985" i="3" s="1"/>
  <c r="D984" i="3"/>
  <c r="C984" i="3" s="1"/>
  <c r="D983" i="3"/>
  <c r="C983" i="3" s="1"/>
  <c r="D982" i="3"/>
  <c r="C982" i="3"/>
  <c r="D981" i="3"/>
  <c r="C981" i="3" s="1"/>
  <c r="D980" i="3"/>
  <c r="C980" i="3" s="1"/>
  <c r="D979" i="3"/>
  <c r="C979" i="3" s="1"/>
  <c r="D978" i="3"/>
  <c r="C978" i="3"/>
  <c r="D977" i="3"/>
  <c r="C977" i="3" s="1"/>
  <c r="D976" i="3"/>
  <c r="C976" i="3" s="1"/>
  <c r="D975" i="3"/>
  <c r="C975" i="3" s="1"/>
  <c r="D974" i="3"/>
  <c r="C974" i="3"/>
  <c r="D973" i="3"/>
  <c r="C973" i="3" s="1"/>
  <c r="D972" i="3"/>
  <c r="C972" i="3" s="1"/>
  <c r="D971" i="3"/>
  <c r="C971" i="3" s="1"/>
  <c r="D970" i="3"/>
  <c r="C970" i="3"/>
  <c r="D969" i="3"/>
  <c r="C969" i="3" s="1"/>
  <c r="D968" i="3"/>
  <c r="C968" i="3" s="1"/>
  <c r="D967" i="3"/>
  <c r="C967" i="3" s="1"/>
  <c r="D966" i="3"/>
  <c r="C966" i="3"/>
  <c r="D965" i="3"/>
  <c r="C965" i="3" s="1"/>
  <c r="D964" i="3"/>
  <c r="C964" i="3" s="1"/>
  <c r="D963" i="3"/>
  <c r="D962" i="3"/>
  <c r="C962" i="3"/>
  <c r="D961" i="3"/>
  <c r="C961" i="3" s="1"/>
  <c r="D960" i="3"/>
  <c r="C960" i="3" s="1"/>
  <c r="D959" i="3"/>
  <c r="C959" i="3" s="1"/>
  <c r="D958" i="3"/>
  <c r="C958" i="3"/>
  <c r="D957" i="3"/>
  <c r="C957" i="3" s="1"/>
  <c r="D956" i="3"/>
  <c r="C956" i="3" s="1"/>
  <c r="D955" i="3"/>
  <c r="C955" i="3" s="1"/>
  <c r="D954" i="3"/>
  <c r="C954" i="3"/>
  <c r="D953" i="3"/>
  <c r="C953" i="3" s="1"/>
  <c r="D952" i="3"/>
  <c r="C952" i="3" s="1"/>
  <c r="T951" i="3"/>
  <c r="T950" i="3" s="1"/>
  <c r="S951" i="3"/>
  <c r="R951" i="3"/>
  <c r="Q951" i="3"/>
  <c r="Q950" i="3" s="1"/>
  <c r="P951" i="3"/>
  <c r="O951" i="3"/>
  <c r="N951" i="3"/>
  <c r="M951" i="3"/>
  <c r="L951" i="3"/>
  <c r="L950" i="3" s="1"/>
  <c r="J951" i="3"/>
  <c r="I951" i="3"/>
  <c r="I950" i="3" s="1"/>
  <c r="H951" i="3"/>
  <c r="G951" i="3"/>
  <c r="F951" i="3"/>
  <c r="E951" i="3"/>
  <c r="S950" i="3"/>
  <c r="N950" i="3"/>
  <c r="K950" i="3"/>
  <c r="F950" i="3"/>
  <c r="D946" i="3"/>
  <c r="C946" i="3" s="1"/>
  <c r="D945" i="3"/>
  <c r="C945" i="3" s="1"/>
  <c r="R944" i="3"/>
  <c r="D944" i="3"/>
  <c r="R943" i="3"/>
  <c r="R939" i="3" s="1"/>
  <c r="D943" i="3"/>
  <c r="C943" i="3" s="1"/>
  <c r="D942" i="3"/>
  <c r="C942" i="3" s="1"/>
  <c r="D941" i="3"/>
  <c r="C941" i="3" s="1"/>
  <c r="D940" i="3"/>
  <c r="D939" i="3" s="1"/>
  <c r="C940" i="3"/>
  <c r="T939" i="3"/>
  <c r="S939" i="3"/>
  <c r="Q939" i="3"/>
  <c r="P939" i="3"/>
  <c r="O939" i="3"/>
  <c r="N939" i="3"/>
  <c r="M939" i="3"/>
  <c r="L939" i="3"/>
  <c r="K939" i="3"/>
  <c r="J939" i="3"/>
  <c r="I939" i="3"/>
  <c r="H939" i="3"/>
  <c r="G939" i="3"/>
  <c r="F939" i="3"/>
  <c r="E939" i="3"/>
  <c r="D938" i="3"/>
  <c r="C938" i="3" s="1"/>
  <c r="D937" i="3"/>
  <c r="C937" i="3" s="1"/>
  <c r="P936" i="3"/>
  <c r="D936" i="3"/>
  <c r="C936" i="3" s="1"/>
  <c r="D935" i="3"/>
  <c r="C935" i="3"/>
  <c r="P934" i="3"/>
  <c r="D934" i="3"/>
  <c r="C934" i="3" s="1"/>
  <c r="P933" i="3"/>
  <c r="P924" i="3" s="1"/>
  <c r="D933" i="3"/>
  <c r="C933" i="3" s="1"/>
  <c r="P932" i="3"/>
  <c r="D932" i="3"/>
  <c r="C932" i="3" s="1"/>
  <c r="D931" i="3"/>
  <c r="C931" i="3" s="1"/>
  <c r="R930" i="3"/>
  <c r="R924" i="3" s="1"/>
  <c r="D930" i="3"/>
  <c r="C930" i="3" s="1"/>
  <c r="R929" i="3"/>
  <c r="D929" i="3"/>
  <c r="C929" i="3" s="1"/>
  <c r="D928" i="3"/>
  <c r="C928" i="3" s="1"/>
  <c r="D927" i="3"/>
  <c r="C927" i="3"/>
  <c r="R926" i="3"/>
  <c r="P926" i="3"/>
  <c r="D926" i="3"/>
  <c r="C926" i="3" s="1"/>
  <c r="D925" i="3"/>
  <c r="T924" i="3"/>
  <c r="S924" i="3"/>
  <c r="Q924" i="3"/>
  <c r="O924" i="3"/>
  <c r="N924" i="3"/>
  <c r="M924" i="3"/>
  <c r="L924" i="3"/>
  <c r="K924" i="3"/>
  <c r="J924" i="3"/>
  <c r="I924" i="3"/>
  <c r="H924" i="3"/>
  <c r="G924" i="3"/>
  <c r="F924" i="3"/>
  <c r="E924" i="3"/>
  <c r="D923" i="3"/>
  <c r="C923" i="3"/>
  <c r="R922" i="3"/>
  <c r="D922" i="3"/>
  <c r="C922" i="3"/>
  <c r="C921" i="3" s="1"/>
  <c r="T921" i="3"/>
  <c r="S921" i="3"/>
  <c r="R921" i="3"/>
  <c r="Q921" i="3"/>
  <c r="P921" i="3"/>
  <c r="O921" i="3"/>
  <c r="N921" i="3"/>
  <c r="M921" i="3"/>
  <c r="L921" i="3"/>
  <c r="K921" i="3"/>
  <c r="J921" i="3"/>
  <c r="I921" i="3"/>
  <c r="H921" i="3"/>
  <c r="G921" i="3"/>
  <c r="F921" i="3"/>
  <c r="E921" i="3"/>
  <c r="D921" i="3"/>
  <c r="D920" i="3"/>
  <c r="C920" i="3" s="1"/>
  <c r="D919" i="3"/>
  <c r="C919" i="3"/>
  <c r="D918" i="3"/>
  <c r="C918" i="3"/>
  <c r="D917" i="3"/>
  <c r="C917" i="3" s="1"/>
  <c r="R916" i="3"/>
  <c r="D916" i="3"/>
  <c r="T915" i="3"/>
  <c r="S915" i="3"/>
  <c r="Q915" i="3"/>
  <c r="P915" i="3"/>
  <c r="O915" i="3"/>
  <c r="N915" i="3"/>
  <c r="M915" i="3"/>
  <c r="L915" i="3"/>
  <c r="K915" i="3"/>
  <c r="J915" i="3"/>
  <c r="I915" i="3"/>
  <c r="H915" i="3"/>
  <c r="G915" i="3"/>
  <c r="F915" i="3"/>
  <c r="E915" i="3"/>
  <c r="D914" i="3"/>
  <c r="C914" i="3" s="1"/>
  <c r="D913" i="3"/>
  <c r="D912" i="3" s="1"/>
  <c r="C913" i="3"/>
  <c r="C912" i="3" s="1"/>
  <c r="T912" i="3"/>
  <c r="S912" i="3"/>
  <c r="R912" i="3"/>
  <c r="Q912" i="3"/>
  <c r="P912" i="3"/>
  <c r="O912" i="3"/>
  <c r="N912" i="3"/>
  <c r="M912" i="3"/>
  <c r="L912" i="3"/>
  <c r="K912" i="3"/>
  <c r="J912" i="3"/>
  <c r="I912" i="3"/>
  <c r="H912" i="3"/>
  <c r="G912" i="3"/>
  <c r="F912" i="3"/>
  <c r="E912" i="3"/>
  <c r="R911" i="3"/>
  <c r="R908" i="3" s="1"/>
  <c r="D911" i="3"/>
  <c r="C911" i="3"/>
  <c r="D910" i="3"/>
  <c r="C910" i="3" s="1"/>
  <c r="D909" i="3"/>
  <c r="T908" i="3"/>
  <c r="S908" i="3"/>
  <c r="Q908" i="3"/>
  <c r="P908" i="3"/>
  <c r="O908" i="3"/>
  <c r="N908" i="3"/>
  <c r="M908" i="3"/>
  <c r="L908" i="3"/>
  <c r="K908" i="3"/>
  <c r="J908" i="3"/>
  <c r="I908" i="3"/>
  <c r="H908" i="3"/>
  <c r="G908" i="3"/>
  <c r="F908" i="3"/>
  <c r="E908" i="3"/>
  <c r="D907" i="3"/>
  <c r="C907" i="3"/>
  <c r="D906" i="3"/>
  <c r="C906" i="3" s="1"/>
  <c r="D905" i="3"/>
  <c r="D904" i="3"/>
  <c r="C904" i="3"/>
  <c r="T903" i="3"/>
  <c r="S903" i="3"/>
  <c r="S813" i="3" s="1"/>
  <c r="R903" i="3"/>
  <c r="Q903" i="3"/>
  <c r="P903" i="3"/>
  <c r="O903" i="3"/>
  <c r="N903" i="3"/>
  <c r="M903" i="3"/>
  <c r="L903" i="3"/>
  <c r="K903" i="3"/>
  <c r="J903" i="3"/>
  <c r="I903" i="3"/>
  <c r="H903" i="3"/>
  <c r="G903" i="3"/>
  <c r="F903" i="3"/>
  <c r="E903" i="3"/>
  <c r="E902" i="3"/>
  <c r="D902" i="3" s="1"/>
  <c r="D901" i="3"/>
  <c r="C901" i="3" s="1"/>
  <c r="T900" i="3"/>
  <c r="S900" i="3"/>
  <c r="R900" i="3"/>
  <c r="Q900" i="3"/>
  <c r="P900" i="3"/>
  <c r="O900" i="3"/>
  <c r="N900" i="3"/>
  <c r="M900" i="3"/>
  <c r="L900" i="3"/>
  <c r="K900" i="3"/>
  <c r="J900" i="3"/>
  <c r="I900" i="3"/>
  <c r="H900" i="3"/>
  <c r="G900" i="3"/>
  <c r="F900" i="3"/>
  <c r="R899" i="3"/>
  <c r="P899" i="3"/>
  <c r="P896" i="3" s="1"/>
  <c r="D899" i="3"/>
  <c r="C899" i="3"/>
  <c r="D898" i="3"/>
  <c r="C898" i="3" s="1"/>
  <c r="R897" i="3"/>
  <c r="D897" i="3"/>
  <c r="C897" i="3"/>
  <c r="C896" i="3" s="1"/>
  <c r="T896" i="3"/>
  <c r="S896" i="3"/>
  <c r="R896" i="3"/>
  <c r="Q896" i="3"/>
  <c r="O896" i="3"/>
  <c r="N896" i="3"/>
  <c r="M896" i="3"/>
  <c r="L896" i="3"/>
  <c r="K896" i="3"/>
  <c r="J896" i="3"/>
  <c r="I896" i="3"/>
  <c r="H896" i="3"/>
  <c r="G896" i="3"/>
  <c r="F896" i="3"/>
  <c r="E896" i="3"/>
  <c r="D896" i="3"/>
  <c r="D895" i="3"/>
  <c r="C895" i="3" s="1"/>
  <c r="D894" i="3"/>
  <c r="C894" i="3"/>
  <c r="D893" i="3"/>
  <c r="C893" i="3"/>
  <c r="R892" i="3"/>
  <c r="R891" i="3" s="1"/>
  <c r="P892" i="3"/>
  <c r="D892" i="3"/>
  <c r="T891" i="3"/>
  <c r="S891" i="3"/>
  <c r="Q891" i="3"/>
  <c r="P891" i="3"/>
  <c r="O891" i="3"/>
  <c r="N891" i="3"/>
  <c r="M891" i="3"/>
  <c r="L891" i="3"/>
  <c r="K891" i="3"/>
  <c r="J891" i="3"/>
  <c r="I891" i="3"/>
  <c r="H891" i="3"/>
  <c r="G891" i="3"/>
  <c r="F891" i="3"/>
  <c r="E891" i="3"/>
  <c r="R890" i="3"/>
  <c r="D890" i="3"/>
  <c r="C890" i="3" s="1"/>
  <c r="D889" i="3"/>
  <c r="C889" i="3"/>
  <c r="D888" i="3"/>
  <c r="C888" i="3" s="1"/>
  <c r="D887" i="3"/>
  <c r="C887" i="3" s="1"/>
  <c r="D886" i="3"/>
  <c r="C886" i="3" s="1"/>
  <c r="D885" i="3"/>
  <c r="D884" i="3" s="1"/>
  <c r="C885" i="3"/>
  <c r="C884" i="3" s="1"/>
  <c r="T884" i="3"/>
  <c r="S884" i="3"/>
  <c r="R884" i="3"/>
  <c r="Q884" i="3"/>
  <c r="P884" i="3"/>
  <c r="O884" i="3"/>
  <c r="N884" i="3"/>
  <c r="M884" i="3"/>
  <c r="L884" i="3"/>
  <c r="K884" i="3"/>
  <c r="J884" i="3"/>
  <c r="I884" i="3"/>
  <c r="H884" i="3"/>
  <c r="G884" i="3"/>
  <c r="F884" i="3"/>
  <c r="E884" i="3"/>
  <c r="D883" i="3"/>
  <c r="C883" i="3" s="1"/>
  <c r="D882" i="3"/>
  <c r="C882" i="3" s="1"/>
  <c r="D881" i="3"/>
  <c r="C881" i="3"/>
  <c r="D880" i="3"/>
  <c r="C880" i="3" s="1"/>
  <c r="D879" i="3"/>
  <c r="C879" i="3" s="1"/>
  <c r="T878" i="3"/>
  <c r="S878" i="3"/>
  <c r="R878" i="3"/>
  <c r="Q878" i="3"/>
  <c r="P878" i="3"/>
  <c r="O878" i="3"/>
  <c r="N878" i="3"/>
  <c r="M878" i="3"/>
  <c r="L878" i="3"/>
  <c r="K878" i="3"/>
  <c r="J878" i="3"/>
  <c r="I878" i="3"/>
  <c r="H878" i="3"/>
  <c r="G878" i="3"/>
  <c r="F878" i="3"/>
  <c r="E878" i="3"/>
  <c r="D878" i="3"/>
  <c r="D877" i="3"/>
  <c r="D876" i="3" s="1"/>
  <c r="C877" i="3"/>
  <c r="C876" i="3" s="1"/>
  <c r="T876" i="3"/>
  <c r="S876" i="3"/>
  <c r="R876" i="3"/>
  <c r="Q876" i="3"/>
  <c r="P876" i="3"/>
  <c r="O876" i="3"/>
  <c r="N876" i="3"/>
  <c r="M876" i="3"/>
  <c r="L876" i="3"/>
  <c r="K876" i="3"/>
  <c r="J876" i="3"/>
  <c r="I876" i="3"/>
  <c r="H876" i="3"/>
  <c r="G876" i="3"/>
  <c r="F876" i="3"/>
  <c r="E876" i="3"/>
  <c r="R875" i="3"/>
  <c r="D875" i="3"/>
  <c r="C875" i="3"/>
  <c r="D874" i="3"/>
  <c r="C874" i="3" s="1"/>
  <c r="D873" i="3"/>
  <c r="C873" i="3" s="1"/>
  <c r="D872" i="3"/>
  <c r="C872" i="3" s="1"/>
  <c r="R871" i="3"/>
  <c r="D871" i="3"/>
  <c r="D870" i="3"/>
  <c r="C870" i="3"/>
  <c r="D869" i="3"/>
  <c r="C869" i="3"/>
  <c r="R868" i="3"/>
  <c r="D868" i="3"/>
  <c r="C868" i="3"/>
  <c r="T867" i="3"/>
  <c r="S867" i="3"/>
  <c r="R867" i="3"/>
  <c r="Q867" i="3"/>
  <c r="P867" i="3"/>
  <c r="O867" i="3"/>
  <c r="N867" i="3"/>
  <c r="M867" i="3"/>
  <c r="L867" i="3"/>
  <c r="K867" i="3"/>
  <c r="J867" i="3"/>
  <c r="J813" i="3" s="1"/>
  <c r="I867" i="3"/>
  <c r="H867" i="3"/>
  <c r="G867" i="3"/>
  <c r="F867" i="3"/>
  <c r="E867" i="3"/>
  <c r="D866" i="3"/>
  <c r="T865" i="3"/>
  <c r="S865" i="3"/>
  <c r="R865" i="3"/>
  <c r="Q865" i="3"/>
  <c r="P865" i="3"/>
  <c r="O865" i="3"/>
  <c r="N865" i="3"/>
  <c r="M865" i="3"/>
  <c r="L865" i="3"/>
  <c r="K865" i="3"/>
  <c r="J865" i="3"/>
  <c r="I865" i="3"/>
  <c r="H865" i="3"/>
  <c r="G865" i="3"/>
  <c r="F865" i="3"/>
  <c r="E865" i="3"/>
  <c r="D864" i="3"/>
  <c r="C864" i="3"/>
  <c r="D863" i="3"/>
  <c r="C863" i="3" s="1"/>
  <c r="D862" i="3"/>
  <c r="C862" i="3" s="1"/>
  <c r="R861" i="3"/>
  <c r="D861" i="3"/>
  <c r="C861" i="3" s="1"/>
  <c r="D860" i="3"/>
  <c r="C860" i="3" s="1"/>
  <c r="D859" i="3"/>
  <c r="C859" i="3"/>
  <c r="D858" i="3"/>
  <c r="C858" i="3" s="1"/>
  <c r="D857" i="3"/>
  <c r="C857" i="3" s="1"/>
  <c r="D856" i="3"/>
  <c r="C856" i="3" s="1"/>
  <c r="D855" i="3"/>
  <c r="C855" i="3"/>
  <c r="D854" i="3"/>
  <c r="C854" i="3" s="1"/>
  <c r="D853" i="3"/>
  <c r="C853" i="3" s="1"/>
  <c r="D852" i="3"/>
  <c r="C852" i="3" s="1"/>
  <c r="R851" i="3"/>
  <c r="D851" i="3"/>
  <c r="C851" i="3" s="1"/>
  <c r="D850" i="3"/>
  <c r="C850" i="3"/>
  <c r="R849" i="3"/>
  <c r="R848" i="3" s="1"/>
  <c r="P849" i="3"/>
  <c r="P848" i="3" s="1"/>
  <c r="D849" i="3"/>
  <c r="T848" i="3"/>
  <c r="S848" i="3"/>
  <c r="Q848" i="3"/>
  <c r="O848" i="3"/>
  <c r="N848" i="3"/>
  <c r="M848" i="3"/>
  <c r="L848" i="3"/>
  <c r="K848" i="3"/>
  <c r="J848" i="3"/>
  <c r="I848" i="3"/>
  <c r="H848" i="3"/>
  <c r="G848" i="3"/>
  <c r="F848" i="3"/>
  <c r="E848" i="3"/>
  <c r="D848" i="3"/>
  <c r="D847" i="3"/>
  <c r="C847" i="3"/>
  <c r="T846" i="3"/>
  <c r="S846" i="3"/>
  <c r="R846" i="3"/>
  <c r="Q846" i="3"/>
  <c r="P846" i="3"/>
  <c r="O846" i="3"/>
  <c r="N846" i="3"/>
  <c r="M846" i="3"/>
  <c r="L846" i="3"/>
  <c r="K846" i="3"/>
  <c r="J846" i="3"/>
  <c r="I846" i="3"/>
  <c r="H846" i="3"/>
  <c r="H813" i="3" s="1"/>
  <c r="G846" i="3"/>
  <c r="F846" i="3"/>
  <c r="E846" i="3"/>
  <c r="D846" i="3"/>
  <c r="C846" i="3"/>
  <c r="D845" i="3"/>
  <c r="C845" i="3" s="1"/>
  <c r="C844" i="3" s="1"/>
  <c r="T844" i="3"/>
  <c r="S844" i="3"/>
  <c r="R844" i="3"/>
  <c r="Q844" i="3"/>
  <c r="P844" i="3"/>
  <c r="O844" i="3"/>
  <c r="N844" i="3"/>
  <c r="M844" i="3"/>
  <c r="L844" i="3"/>
  <c r="K844" i="3"/>
  <c r="J844" i="3"/>
  <c r="I844" i="3"/>
  <c r="H844" i="3"/>
  <c r="G844" i="3"/>
  <c r="F844" i="3"/>
  <c r="E844" i="3"/>
  <c r="D844" i="3"/>
  <c r="D843" i="3"/>
  <c r="C843" i="3"/>
  <c r="R842" i="3"/>
  <c r="D842" i="3"/>
  <c r="C842" i="3" s="1"/>
  <c r="D841" i="3"/>
  <c r="C841" i="3"/>
  <c r="D840" i="3"/>
  <c r="C840" i="3"/>
  <c r="D839" i="3"/>
  <c r="C839" i="3" s="1"/>
  <c r="D838" i="3"/>
  <c r="C838" i="3" s="1"/>
  <c r="D837" i="3"/>
  <c r="C837" i="3"/>
  <c r="D836" i="3"/>
  <c r="C836" i="3"/>
  <c r="D835" i="3"/>
  <c r="C835" i="3" s="1"/>
  <c r="D834" i="3"/>
  <c r="C834" i="3" s="1"/>
  <c r="D833" i="3"/>
  <c r="C833" i="3"/>
  <c r="D832" i="3"/>
  <c r="C832" i="3"/>
  <c r="R831" i="3"/>
  <c r="D831" i="3"/>
  <c r="C831" i="3"/>
  <c r="D830" i="3"/>
  <c r="C830" i="3" s="1"/>
  <c r="D829" i="3"/>
  <c r="C829" i="3" s="1"/>
  <c r="D828" i="3"/>
  <c r="C828" i="3" s="1"/>
  <c r="D827" i="3"/>
  <c r="C827" i="3"/>
  <c r="D826" i="3"/>
  <c r="C826" i="3" s="1"/>
  <c r="P825" i="3"/>
  <c r="D825" i="3"/>
  <c r="D824" i="3"/>
  <c r="C824" i="3" s="1"/>
  <c r="D823" i="3"/>
  <c r="C823" i="3" s="1"/>
  <c r="D822" i="3"/>
  <c r="C822" i="3"/>
  <c r="D821" i="3"/>
  <c r="C821" i="3"/>
  <c r="R820" i="3"/>
  <c r="D820" i="3"/>
  <c r="C820" i="3"/>
  <c r="D819" i="3"/>
  <c r="C819" i="3" s="1"/>
  <c r="R818" i="3"/>
  <c r="D818" i="3"/>
  <c r="R817" i="3"/>
  <c r="D817" i="3"/>
  <c r="C817" i="3"/>
  <c r="D816" i="3"/>
  <c r="C816" i="3" s="1"/>
  <c r="D815" i="3"/>
  <c r="T814" i="3"/>
  <c r="T813" i="3" s="1"/>
  <c r="S814" i="3"/>
  <c r="Q814" i="3"/>
  <c r="O814" i="3"/>
  <c r="N814" i="3"/>
  <c r="M814" i="3"/>
  <c r="L814" i="3"/>
  <c r="K814" i="3"/>
  <c r="J814" i="3"/>
  <c r="I814" i="3"/>
  <c r="I813" i="3" s="1"/>
  <c r="H814" i="3"/>
  <c r="G814" i="3"/>
  <c r="F814" i="3"/>
  <c r="E814" i="3"/>
  <c r="K813" i="3"/>
  <c r="D811" i="3"/>
  <c r="C811" i="3" s="1"/>
  <c r="D810" i="3"/>
  <c r="C810" i="3" s="1"/>
  <c r="P809" i="3"/>
  <c r="D809" i="3"/>
  <c r="C809" i="3" s="1"/>
  <c r="D808" i="3"/>
  <c r="C808" i="3" s="1"/>
  <c r="R807" i="3"/>
  <c r="D807" i="3"/>
  <c r="C807" i="3" s="1"/>
  <c r="R806" i="3"/>
  <c r="D806" i="3"/>
  <c r="C806" i="3" s="1"/>
  <c r="D805" i="3"/>
  <c r="C805" i="3" s="1"/>
  <c r="D804" i="3"/>
  <c r="C804" i="3"/>
  <c r="P803" i="3"/>
  <c r="D803" i="3"/>
  <c r="C803" i="3" s="1"/>
  <c r="P802" i="3"/>
  <c r="D802" i="3"/>
  <c r="C802" i="3" s="1"/>
  <c r="P801" i="3"/>
  <c r="D801" i="3"/>
  <c r="C801" i="3" s="1"/>
  <c r="P800" i="3"/>
  <c r="D800" i="3"/>
  <c r="C800" i="3" s="1"/>
  <c r="P799" i="3"/>
  <c r="D799" i="3"/>
  <c r="C799" i="3" s="1"/>
  <c r="R798" i="3"/>
  <c r="C798" i="3" s="1"/>
  <c r="D798" i="3"/>
  <c r="D797" i="3"/>
  <c r="C797" i="3" s="1"/>
  <c r="D796" i="3"/>
  <c r="C796" i="3" s="1"/>
  <c r="R795" i="3"/>
  <c r="D795" i="3"/>
  <c r="C795" i="3" s="1"/>
  <c r="D794" i="3"/>
  <c r="C794" i="3" s="1"/>
  <c r="D793" i="3"/>
  <c r="C793" i="3"/>
  <c r="R792" i="3"/>
  <c r="D792" i="3"/>
  <c r="C792" i="3"/>
  <c r="T791" i="3"/>
  <c r="S791" i="3"/>
  <c r="Q791" i="3"/>
  <c r="P791" i="3"/>
  <c r="O791" i="3"/>
  <c r="N791" i="3"/>
  <c r="M791" i="3"/>
  <c r="L791" i="3"/>
  <c r="K791" i="3"/>
  <c r="J791" i="3"/>
  <c r="I791" i="3"/>
  <c r="H791" i="3"/>
  <c r="G791" i="3"/>
  <c r="F791" i="3"/>
  <c r="E791" i="3"/>
  <c r="P790" i="3"/>
  <c r="D790" i="3"/>
  <c r="C790" i="3"/>
  <c r="C789" i="3" s="1"/>
  <c r="T789" i="3"/>
  <c r="S789" i="3"/>
  <c r="R789" i="3"/>
  <c r="Q789" i="3"/>
  <c r="P789" i="3"/>
  <c r="O789" i="3"/>
  <c r="N789" i="3"/>
  <c r="M789" i="3"/>
  <c r="L789" i="3"/>
  <c r="K789" i="3"/>
  <c r="J789" i="3"/>
  <c r="I789" i="3"/>
  <c r="H789" i="3"/>
  <c r="G789" i="3"/>
  <c r="F789" i="3"/>
  <c r="E789" i="3"/>
  <c r="D789" i="3"/>
  <c r="R788" i="3"/>
  <c r="P788" i="3"/>
  <c r="D788" i="3"/>
  <c r="R787" i="3"/>
  <c r="P787" i="3"/>
  <c r="D787" i="3"/>
  <c r="D786" i="3"/>
  <c r="C786" i="3" s="1"/>
  <c r="R785" i="3"/>
  <c r="P785" i="3"/>
  <c r="D785" i="3"/>
  <c r="C785" i="3"/>
  <c r="R784" i="3"/>
  <c r="P784" i="3"/>
  <c r="D784" i="3"/>
  <c r="C784" i="3" s="1"/>
  <c r="R783" i="3"/>
  <c r="P783" i="3"/>
  <c r="D783" i="3"/>
  <c r="C783" i="3"/>
  <c r="R782" i="3"/>
  <c r="P782" i="3"/>
  <c r="D782" i="3"/>
  <c r="C782" i="3" s="1"/>
  <c r="R781" i="3"/>
  <c r="D781" i="3"/>
  <c r="C781" i="3" s="1"/>
  <c r="R780" i="3"/>
  <c r="C780" i="3" s="1"/>
  <c r="P780" i="3"/>
  <c r="D780" i="3"/>
  <c r="R779" i="3"/>
  <c r="D779" i="3"/>
  <c r="C779" i="3"/>
  <c r="R778" i="3"/>
  <c r="P778" i="3"/>
  <c r="D778" i="3"/>
  <c r="C778" i="3" s="1"/>
  <c r="R777" i="3"/>
  <c r="P777" i="3"/>
  <c r="D777" i="3"/>
  <c r="D776" i="3"/>
  <c r="C776" i="3"/>
  <c r="R775" i="3"/>
  <c r="P775" i="3"/>
  <c r="D775" i="3"/>
  <c r="C775" i="3" s="1"/>
  <c r="D774" i="3"/>
  <c r="C774" i="3"/>
  <c r="D773" i="3"/>
  <c r="C773" i="3"/>
  <c r="R772" i="3"/>
  <c r="P772" i="3"/>
  <c r="D772" i="3"/>
  <c r="R771" i="3"/>
  <c r="P771" i="3"/>
  <c r="P770" i="3" s="1"/>
  <c r="D771" i="3"/>
  <c r="C771" i="3"/>
  <c r="T770" i="3"/>
  <c r="S770" i="3"/>
  <c r="Q770" i="3"/>
  <c r="O770" i="3"/>
  <c r="N770" i="3"/>
  <c r="M770" i="3"/>
  <c r="L770" i="3"/>
  <c r="K770" i="3"/>
  <c r="J770" i="3"/>
  <c r="I770" i="3"/>
  <c r="H770" i="3"/>
  <c r="G770" i="3"/>
  <c r="F770" i="3"/>
  <c r="E770" i="3"/>
  <c r="D769" i="3"/>
  <c r="C769" i="3" s="1"/>
  <c r="D768" i="3"/>
  <c r="C768" i="3"/>
  <c r="P767" i="3"/>
  <c r="D767" i="3"/>
  <c r="C767" i="3" s="1"/>
  <c r="D766" i="3"/>
  <c r="C766" i="3"/>
  <c r="P765" i="3"/>
  <c r="D765" i="3"/>
  <c r="C765" i="3"/>
  <c r="R764" i="3"/>
  <c r="D764" i="3"/>
  <c r="C764" i="3" s="1"/>
  <c r="P763" i="3"/>
  <c r="D763" i="3"/>
  <c r="D762" i="3"/>
  <c r="C762" i="3"/>
  <c r="T761" i="3"/>
  <c r="S761" i="3"/>
  <c r="R761" i="3"/>
  <c r="Q761" i="3"/>
  <c r="P761" i="3"/>
  <c r="O761" i="3"/>
  <c r="N761" i="3"/>
  <c r="M761" i="3"/>
  <c r="L761" i="3"/>
  <c r="K761" i="3"/>
  <c r="J761" i="3"/>
  <c r="I761" i="3"/>
  <c r="H761" i="3"/>
  <c r="G761" i="3"/>
  <c r="F761" i="3"/>
  <c r="E761" i="3"/>
  <c r="R760" i="3"/>
  <c r="R757" i="3" s="1"/>
  <c r="P760" i="3"/>
  <c r="D760" i="3"/>
  <c r="C760" i="3" s="1"/>
  <c r="R759" i="3"/>
  <c r="P759" i="3"/>
  <c r="P757" i="3" s="1"/>
  <c r="D759" i="3"/>
  <c r="C759" i="3"/>
  <c r="D758" i="3"/>
  <c r="C758" i="3" s="1"/>
  <c r="T757" i="3"/>
  <c r="S757" i="3"/>
  <c r="Q757" i="3"/>
  <c r="O757" i="3"/>
  <c r="N757" i="3"/>
  <c r="M757" i="3"/>
  <c r="L757" i="3"/>
  <c r="K757" i="3"/>
  <c r="J757" i="3"/>
  <c r="I757" i="3"/>
  <c r="H757" i="3"/>
  <c r="G757" i="3"/>
  <c r="F757" i="3"/>
  <c r="E757" i="3"/>
  <c r="D756" i="3"/>
  <c r="C756" i="3"/>
  <c r="T755" i="3"/>
  <c r="S755" i="3"/>
  <c r="R755" i="3"/>
  <c r="Q755" i="3"/>
  <c r="P755" i="3"/>
  <c r="O755" i="3"/>
  <c r="N755" i="3"/>
  <c r="M755" i="3"/>
  <c r="L755" i="3"/>
  <c r="K755" i="3"/>
  <c r="J755" i="3"/>
  <c r="I755" i="3"/>
  <c r="H755" i="3"/>
  <c r="G755" i="3"/>
  <c r="F755" i="3"/>
  <c r="E755" i="3"/>
  <c r="D755" i="3"/>
  <c r="C755" i="3"/>
  <c r="D754" i="3"/>
  <c r="C754" i="3" s="1"/>
  <c r="D753" i="3"/>
  <c r="T752" i="3"/>
  <c r="S752" i="3"/>
  <c r="R752" i="3"/>
  <c r="Q752" i="3"/>
  <c r="P752" i="3"/>
  <c r="O752" i="3"/>
  <c r="N752" i="3"/>
  <c r="M752" i="3"/>
  <c r="L752" i="3"/>
  <c r="K752" i="3"/>
  <c r="J752" i="3"/>
  <c r="I752" i="3"/>
  <c r="H752" i="3"/>
  <c r="G752" i="3"/>
  <c r="F752" i="3"/>
  <c r="E752" i="3"/>
  <c r="D751" i="3"/>
  <c r="C751" i="3"/>
  <c r="D750" i="3"/>
  <c r="C750" i="3" s="1"/>
  <c r="P749" i="3"/>
  <c r="D749" i="3"/>
  <c r="P748" i="3"/>
  <c r="P747" i="3" s="1"/>
  <c r="D748" i="3"/>
  <c r="C748" i="3"/>
  <c r="T747" i="3"/>
  <c r="S747" i="3"/>
  <c r="R747" i="3"/>
  <c r="Q747" i="3"/>
  <c r="O747" i="3"/>
  <c r="N747" i="3"/>
  <c r="M747" i="3"/>
  <c r="L747" i="3"/>
  <c r="K747" i="3"/>
  <c r="J747" i="3"/>
  <c r="I747" i="3"/>
  <c r="H747" i="3"/>
  <c r="G747" i="3"/>
  <c r="F747" i="3"/>
  <c r="E747" i="3"/>
  <c r="D747" i="3"/>
  <c r="P746" i="3"/>
  <c r="D746" i="3"/>
  <c r="P745" i="3"/>
  <c r="D745" i="3"/>
  <c r="C745" i="3"/>
  <c r="P744" i="3"/>
  <c r="D744" i="3"/>
  <c r="C744" i="3"/>
  <c r="P743" i="3"/>
  <c r="D743" i="3"/>
  <c r="C743" i="3"/>
  <c r="P742" i="3"/>
  <c r="D742" i="3"/>
  <c r="D741" i="3"/>
  <c r="C741" i="3"/>
  <c r="P740" i="3"/>
  <c r="D740" i="3"/>
  <c r="C740" i="3"/>
  <c r="D739" i="3"/>
  <c r="C739" i="3"/>
  <c r="T738" i="3"/>
  <c r="S738" i="3"/>
  <c r="R738" i="3"/>
  <c r="Q738" i="3"/>
  <c r="O738" i="3"/>
  <c r="N738" i="3"/>
  <c r="M738" i="3"/>
  <c r="L738" i="3"/>
  <c r="K738" i="3"/>
  <c r="J738" i="3"/>
  <c r="I738" i="3"/>
  <c r="H738" i="3"/>
  <c r="G738" i="3"/>
  <c r="F738" i="3"/>
  <c r="E738" i="3"/>
  <c r="D737" i="3"/>
  <c r="C737" i="3" s="1"/>
  <c r="D736" i="3"/>
  <c r="C736" i="3"/>
  <c r="D735" i="3"/>
  <c r="C735" i="3"/>
  <c r="D734" i="3"/>
  <c r="C734" i="3" s="1"/>
  <c r="D733" i="3"/>
  <c r="D732" i="3"/>
  <c r="C732" i="3"/>
  <c r="T731" i="3"/>
  <c r="S731" i="3"/>
  <c r="R731" i="3"/>
  <c r="Q731" i="3"/>
  <c r="P731" i="3"/>
  <c r="O731" i="3"/>
  <c r="N731" i="3"/>
  <c r="M731" i="3"/>
  <c r="L731" i="3"/>
  <c r="K731" i="3"/>
  <c r="J731" i="3"/>
  <c r="I731" i="3"/>
  <c r="H731" i="3"/>
  <c r="G731" i="3"/>
  <c r="F731" i="3"/>
  <c r="E731" i="3"/>
  <c r="D730" i="3"/>
  <c r="C730" i="3" s="1"/>
  <c r="D729" i="3"/>
  <c r="C729" i="3" s="1"/>
  <c r="D728" i="3"/>
  <c r="C728" i="3"/>
  <c r="D727" i="3"/>
  <c r="C727" i="3"/>
  <c r="D726" i="3"/>
  <c r="C726" i="3" s="1"/>
  <c r="D725" i="3"/>
  <c r="C725" i="3" s="1"/>
  <c r="D724" i="3"/>
  <c r="C724" i="3"/>
  <c r="D723" i="3"/>
  <c r="C723" i="3"/>
  <c r="D722" i="3"/>
  <c r="C722" i="3" s="1"/>
  <c r="D721" i="3"/>
  <c r="C721" i="3" s="1"/>
  <c r="D720" i="3"/>
  <c r="C720" i="3"/>
  <c r="D719" i="3"/>
  <c r="C719" i="3"/>
  <c r="D718" i="3"/>
  <c r="C718" i="3" s="1"/>
  <c r="D717" i="3"/>
  <c r="C717" i="3" s="1"/>
  <c r="D716" i="3"/>
  <c r="C716" i="3"/>
  <c r="P715" i="3"/>
  <c r="D715" i="3"/>
  <c r="C715" i="3" s="1"/>
  <c r="R714" i="3"/>
  <c r="R707" i="3" s="1"/>
  <c r="P714" i="3"/>
  <c r="P707" i="3" s="1"/>
  <c r="D714" i="3"/>
  <c r="C714" i="3" s="1"/>
  <c r="D713" i="3"/>
  <c r="C713" i="3" s="1"/>
  <c r="D712" i="3"/>
  <c r="C712" i="3" s="1"/>
  <c r="D711" i="3"/>
  <c r="C711" i="3"/>
  <c r="P710" i="3"/>
  <c r="D710" i="3"/>
  <c r="C710" i="3"/>
  <c r="D709" i="3"/>
  <c r="C709" i="3"/>
  <c r="D708" i="3"/>
  <c r="C708" i="3" s="1"/>
  <c r="T707" i="3"/>
  <c r="S707" i="3"/>
  <c r="Q707" i="3"/>
  <c r="O707" i="3"/>
  <c r="N707" i="3"/>
  <c r="M707" i="3"/>
  <c r="L707" i="3"/>
  <c r="K707" i="3"/>
  <c r="J707" i="3"/>
  <c r="I707" i="3"/>
  <c r="H707" i="3"/>
  <c r="G707" i="3"/>
  <c r="F707" i="3"/>
  <c r="E707" i="3"/>
  <c r="D707" i="3"/>
  <c r="R706" i="3"/>
  <c r="P706" i="3"/>
  <c r="D706" i="3"/>
  <c r="C706" i="3"/>
  <c r="R705" i="3"/>
  <c r="R699" i="3" s="1"/>
  <c r="P705" i="3"/>
  <c r="P699" i="3" s="1"/>
  <c r="D705" i="3"/>
  <c r="C705" i="3" s="1"/>
  <c r="D704" i="3"/>
  <c r="C704" i="3"/>
  <c r="D703" i="3"/>
  <c r="C703" i="3"/>
  <c r="D702" i="3"/>
  <c r="C702" i="3" s="1"/>
  <c r="D701" i="3"/>
  <c r="C701" i="3" s="1"/>
  <c r="P700" i="3"/>
  <c r="D700" i="3"/>
  <c r="C700" i="3" s="1"/>
  <c r="C699" i="3" s="1"/>
  <c r="T699" i="3"/>
  <c r="S699" i="3"/>
  <c r="Q699" i="3"/>
  <c r="O699" i="3"/>
  <c r="N699" i="3"/>
  <c r="M699" i="3"/>
  <c r="L699" i="3"/>
  <c r="K699" i="3"/>
  <c r="J699" i="3"/>
  <c r="I699" i="3"/>
  <c r="H699" i="3"/>
  <c r="G699" i="3"/>
  <c r="F699" i="3"/>
  <c r="E699" i="3"/>
  <c r="D698" i="3"/>
  <c r="C698" i="3"/>
  <c r="D697" i="3"/>
  <c r="C697" i="3" s="1"/>
  <c r="T696" i="3"/>
  <c r="S696" i="3"/>
  <c r="R696" i="3"/>
  <c r="Q696" i="3"/>
  <c r="P696" i="3"/>
  <c r="O696" i="3"/>
  <c r="O454" i="3" s="1"/>
  <c r="N696" i="3"/>
  <c r="M696" i="3"/>
  <c r="L696" i="3"/>
  <c r="K696" i="3"/>
  <c r="J696" i="3"/>
  <c r="I696" i="3"/>
  <c r="H696" i="3"/>
  <c r="G696" i="3"/>
  <c r="G454" i="3" s="1"/>
  <c r="F696" i="3"/>
  <c r="E696" i="3"/>
  <c r="D696" i="3"/>
  <c r="D695" i="3"/>
  <c r="C695" i="3" s="1"/>
  <c r="D694" i="3"/>
  <c r="C694" i="3"/>
  <c r="C693" i="3" s="1"/>
  <c r="T693" i="3"/>
  <c r="S693" i="3"/>
  <c r="R693" i="3"/>
  <c r="Q693" i="3"/>
  <c r="P693" i="3"/>
  <c r="O693" i="3"/>
  <c r="N693" i="3"/>
  <c r="M693" i="3"/>
  <c r="L693" i="3"/>
  <c r="K693" i="3"/>
  <c r="J693" i="3"/>
  <c r="I693" i="3"/>
  <c r="H693" i="3"/>
  <c r="G693" i="3"/>
  <c r="F693" i="3"/>
  <c r="E693" i="3"/>
  <c r="D692" i="3"/>
  <c r="C692" i="3" s="1"/>
  <c r="C691" i="3" s="1"/>
  <c r="T691" i="3"/>
  <c r="T454" i="3" s="1"/>
  <c r="S691" i="3"/>
  <c r="R691" i="3"/>
  <c r="Q691" i="3"/>
  <c r="P691" i="3"/>
  <c r="O691" i="3"/>
  <c r="N691" i="3"/>
  <c r="M691" i="3"/>
  <c r="L691" i="3"/>
  <c r="K691" i="3"/>
  <c r="J691" i="3"/>
  <c r="I691" i="3"/>
  <c r="H691" i="3"/>
  <c r="G691" i="3"/>
  <c r="F691" i="3"/>
  <c r="E691" i="3"/>
  <c r="D691" i="3"/>
  <c r="D690" i="3"/>
  <c r="C690" i="3"/>
  <c r="D689" i="3"/>
  <c r="C689" i="3" s="1"/>
  <c r="D688" i="3"/>
  <c r="C688" i="3" s="1"/>
  <c r="C687" i="3" s="1"/>
  <c r="T687" i="3"/>
  <c r="S687" i="3"/>
  <c r="R687" i="3"/>
  <c r="Q687" i="3"/>
  <c r="Q454" i="3" s="1"/>
  <c r="P687" i="3"/>
  <c r="O687" i="3"/>
  <c r="N687" i="3"/>
  <c r="M687" i="3"/>
  <c r="L687" i="3"/>
  <c r="K687" i="3"/>
  <c r="J687" i="3"/>
  <c r="I687" i="3"/>
  <c r="H687" i="3"/>
  <c r="G687" i="3"/>
  <c r="F687" i="3"/>
  <c r="E687" i="3"/>
  <c r="D687" i="3"/>
  <c r="R686" i="3"/>
  <c r="P686" i="3"/>
  <c r="D686" i="3"/>
  <c r="C686" i="3" s="1"/>
  <c r="R685" i="3"/>
  <c r="P685" i="3"/>
  <c r="D685" i="3"/>
  <c r="C685" i="3" s="1"/>
  <c r="R684" i="3"/>
  <c r="P684" i="3"/>
  <c r="D684" i="3"/>
  <c r="C684" i="3" s="1"/>
  <c r="R683" i="3"/>
  <c r="R671" i="3" s="1"/>
  <c r="P683" i="3"/>
  <c r="D683" i="3"/>
  <c r="C683" i="3" s="1"/>
  <c r="R682" i="3"/>
  <c r="P682" i="3"/>
  <c r="D682" i="3"/>
  <c r="C682" i="3" s="1"/>
  <c r="D681" i="3"/>
  <c r="C681" i="3" s="1"/>
  <c r="D680" i="3"/>
  <c r="C680" i="3" s="1"/>
  <c r="D679" i="3"/>
  <c r="C679" i="3"/>
  <c r="D678" i="3"/>
  <c r="C678" i="3" s="1"/>
  <c r="D677" i="3"/>
  <c r="C677" i="3" s="1"/>
  <c r="D676" i="3"/>
  <c r="C676" i="3" s="1"/>
  <c r="D675" i="3"/>
  <c r="C675" i="3"/>
  <c r="D674" i="3"/>
  <c r="C674" i="3" s="1"/>
  <c r="D673" i="3"/>
  <c r="C673" i="3" s="1"/>
  <c r="D672" i="3"/>
  <c r="T671" i="3"/>
  <c r="S671" i="3"/>
  <c r="Q671" i="3"/>
  <c r="O671" i="3"/>
  <c r="N671" i="3"/>
  <c r="M671" i="3"/>
  <c r="L671" i="3"/>
  <c r="K671" i="3"/>
  <c r="K454" i="3" s="1"/>
  <c r="J671" i="3"/>
  <c r="I671" i="3"/>
  <c r="H671" i="3"/>
  <c r="G671" i="3"/>
  <c r="F671" i="3"/>
  <c r="E671" i="3"/>
  <c r="D670" i="3"/>
  <c r="C670" i="3" s="1"/>
  <c r="D669" i="3"/>
  <c r="C669" i="3" s="1"/>
  <c r="C668" i="3" s="1"/>
  <c r="T668" i="3"/>
  <c r="S668" i="3"/>
  <c r="R668" i="3"/>
  <c r="Q668" i="3"/>
  <c r="P668" i="3"/>
  <c r="O668" i="3"/>
  <c r="N668" i="3"/>
  <c r="M668" i="3"/>
  <c r="L668" i="3"/>
  <c r="K668" i="3"/>
  <c r="J668" i="3"/>
  <c r="I668" i="3"/>
  <c r="H668" i="3"/>
  <c r="G668" i="3"/>
  <c r="F668" i="3"/>
  <c r="E668" i="3"/>
  <c r="D668" i="3"/>
  <c r="R667" i="3"/>
  <c r="P667" i="3"/>
  <c r="D667" i="3"/>
  <c r="P666" i="3"/>
  <c r="P664" i="3" s="1"/>
  <c r="D666" i="3"/>
  <c r="C666" i="3"/>
  <c r="R665" i="3"/>
  <c r="R664" i="3" s="1"/>
  <c r="P665" i="3"/>
  <c r="D665" i="3"/>
  <c r="T664" i="3"/>
  <c r="S664" i="3"/>
  <c r="Q664" i="3"/>
  <c r="O664" i="3"/>
  <c r="N664" i="3"/>
  <c r="M664" i="3"/>
  <c r="L664" i="3"/>
  <c r="K664" i="3"/>
  <c r="J664" i="3"/>
  <c r="I664" i="3"/>
  <c r="H664" i="3"/>
  <c r="G664" i="3"/>
  <c r="F664" i="3"/>
  <c r="E664" i="3"/>
  <c r="R663" i="3"/>
  <c r="D663" i="3"/>
  <c r="C663" i="3" s="1"/>
  <c r="D662" i="3"/>
  <c r="C662" i="3"/>
  <c r="D661" i="3"/>
  <c r="C661" i="3" s="1"/>
  <c r="D660" i="3"/>
  <c r="C660" i="3" s="1"/>
  <c r="D659" i="3"/>
  <c r="C659" i="3" s="1"/>
  <c r="P658" i="3"/>
  <c r="D658" i="3"/>
  <c r="T657" i="3"/>
  <c r="S657" i="3"/>
  <c r="R657" i="3"/>
  <c r="Q657" i="3"/>
  <c r="P657" i="3"/>
  <c r="O657" i="3"/>
  <c r="N657" i="3"/>
  <c r="M657" i="3"/>
  <c r="L657" i="3"/>
  <c r="K657" i="3"/>
  <c r="J657" i="3"/>
  <c r="I657" i="3"/>
  <c r="H657" i="3"/>
  <c r="G657" i="3"/>
  <c r="F657" i="3"/>
  <c r="E657" i="3"/>
  <c r="D656" i="3"/>
  <c r="C656" i="3"/>
  <c r="D655" i="3"/>
  <c r="C655" i="3" s="1"/>
  <c r="D654" i="3"/>
  <c r="D653" i="3"/>
  <c r="C653" i="3"/>
  <c r="T652" i="3"/>
  <c r="S652" i="3"/>
  <c r="R652" i="3"/>
  <c r="Q652" i="3"/>
  <c r="P652" i="3"/>
  <c r="O652" i="3"/>
  <c r="N652" i="3"/>
  <c r="M652" i="3"/>
  <c r="L652" i="3"/>
  <c r="K652" i="3"/>
  <c r="J652" i="3"/>
  <c r="I652" i="3"/>
  <c r="H652" i="3"/>
  <c r="G652" i="3"/>
  <c r="F652" i="3"/>
  <c r="E652" i="3"/>
  <c r="R651" i="3"/>
  <c r="D651" i="3"/>
  <c r="C651" i="3"/>
  <c r="D650" i="3"/>
  <c r="C650" i="3" s="1"/>
  <c r="D649" i="3"/>
  <c r="C649" i="3" s="1"/>
  <c r="P648" i="3"/>
  <c r="P642" i="3" s="1"/>
  <c r="D648" i="3"/>
  <c r="C648" i="3" s="1"/>
  <c r="R647" i="3"/>
  <c r="P647" i="3"/>
  <c r="D647" i="3"/>
  <c r="D646" i="3"/>
  <c r="C646" i="3"/>
  <c r="D645" i="3"/>
  <c r="C645" i="3" s="1"/>
  <c r="D644" i="3"/>
  <c r="D643" i="3"/>
  <c r="C643" i="3"/>
  <c r="T642" i="3"/>
  <c r="S642" i="3"/>
  <c r="Q642" i="3"/>
  <c r="O642" i="3"/>
  <c r="N642" i="3"/>
  <c r="M642" i="3"/>
  <c r="L642" i="3"/>
  <c r="K642" i="3"/>
  <c r="J642" i="3"/>
  <c r="I642" i="3"/>
  <c r="H642" i="3"/>
  <c r="G642" i="3"/>
  <c r="F642" i="3"/>
  <c r="E642" i="3"/>
  <c r="D641" i="3"/>
  <c r="C641" i="3" s="1"/>
  <c r="D640" i="3"/>
  <c r="C640" i="3" s="1"/>
  <c r="D639" i="3"/>
  <c r="C639" i="3"/>
  <c r="D638" i="3"/>
  <c r="C638" i="3"/>
  <c r="D637" i="3"/>
  <c r="C637" i="3" s="1"/>
  <c r="D636" i="3"/>
  <c r="D635" i="3"/>
  <c r="C635" i="3"/>
  <c r="D634" i="3"/>
  <c r="C634" i="3"/>
  <c r="T633" i="3"/>
  <c r="S633" i="3"/>
  <c r="R633" i="3"/>
  <c r="Q633" i="3"/>
  <c r="P633" i="3"/>
  <c r="O633" i="3"/>
  <c r="N633" i="3"/>
  <c r="M633" i="3"/>
  <c r="L633" i="3"/>
  <c r="K633" i="3"/>
  <c r="J633" i="3"/>
  <c r="I633" i="3"/>
  <c r="H633" i="3"/>
  <c r="G633" i="3"/>
  <c r="F633" i="3"/>
  <c r="E633" i="3"/>
  <c r="R632" i="3"/>
  <c r="P632" i="3"/>
  <c r="D632" i="3"/>
  <c r="R631" i="3"/>
  <c r="D631" i="3"/>
  <c r="C631" i="3" s="1"/>
  <c r="R630" i="3"/>
  <c r="D630" i="3"/>
  <c r="T629" i="3"/>
  <c r="S629" i="3"/>
  <c r="Q629" i="3"/>
  <c r="P629" i="3"/>
  <c r="O629" i="3"/>
  <c r="N629" i="3"/>
  <c r="M629" i="3"/>
  <c r="L629" i="3"/>
  <c r="K629" i="3"/>
  <c r="J629" i="3"/>
  <c r="I629" i="3"/>
  <c r="H629" i="3"/>
  <c r="G629" i="3"/>
  <c r="F629" i="3"/>
  <c r="E629" i="3"/>
  <c r="D628" i="3"/>
  <c r="C628" i="3"/>
  <c r="C627" i="3" s="1"/>
  <c r="T627" i="3"/>
  <c r="S627" i="3"/>
  <c r="R627" i="3"/>
  <c r="Q627" i="3"/>
  <c r="P627" i="3"/>
  <c r="O627" i="3"/>
  <c r="N627" i="3"/>
  <c r="M627" i="3"/>
  <c r="L627" i="3"/>
  <c r="K627" i="3"/>
  <c r="J627" i="3"/>
  <c r="J454" i="3" s="1"/>
  <c r="I627" i="3"/>
  <c r="H627" i="3"/>
  <c r="G627" i="3"/>
  <c r="F627" i="3"/>
  <c r="E627" i="3"/>
  <c r="D627" i="3"/>
  <c r="D626" i="3"/>
  <c r="C626" i="3" s="1"/>
  <c r="D625" i="3"/>
  <c r="C625" i="3"/>
  <c r="D624" i="3"/>
  <c r="C624" i="3"/>
  <c r="R623" i="3"/>
  <c r="K623" i="3"/>
  <c r="D623" i="3"/>
  <c r="C623" i="3" s="1"/>
  <c r="D622" i="3"/>
  <c r="C622" i="3"/>
  <c r="D621" i="3"/>
  <c r="C621" i="3"/>
  <c r="D620" i="3"/>
  <c r="C620" i="3" s="1"/>
  <c r="P619" i="3"/>
  <c r="D619" i="3"/>
  <c r="C619" i="3" s="1"/>
  <c r="D618" i="3"/>
  <c r="C618" i="3" s="1"/>
  <c r="D617" i="3"/>
  <c r="C617" i="3" s="1"/>
  <c r="D616" i="3"/>
  <c r="C616" i="3"/>
  <c r="R615" i="3"/>
  <c r="P615" i="3"/>
  <c r="D615" i="3"/>
  <c r="C615" i="3" s="1"/>
  <c r="P614" i="3"/>
  <c r="D614" i="3"/>
  <c r="C614" i="3" s="1"/>
  <c r="D613" i="3"/>
  <c r="C613" i="3" s="1"/>
  <c r="D612" i="3"/>
  <c r="C612" i="3"/>
  <c r="R611" i="3"/>
  <c r="P611" i="3"/>
  <c r="D611" i="3"/>
  <c r="R610" i="3"/>
  <c r="C610" i="3" s="1"/>
  <c r="P610" i="3"/>
  <c r="D610" i="3"/>
  <c r="R609" i="3"/>
  <c r="P609" i="3"/>
  <c r="D609" i="3"/>
  <c r="R608" i="3"/>
  <c r="C608" i="3" s="1"/>
  <c r="P608" i="3"/>
  <c r="D608" i="3"/>
  <c r="D607" i="3"/>
  <c r="C607" i="3"/>
  <c r="D606" i="3"/>
  <c r="C606" i="3" s="1"/>
  <c r="D605" i="3"/>
  <c r="C605" i="3" s="1"/>
  <c r="R604" i="3"/>
  <c r="D604" i="3"/>
  <c r="C604" i="3" s="1"/>
  <c r="P603" i="3"/>
  <c r="D603" i="3"/>
  <c r="C603" i="3" s="1"/>
  <c r="D602" i="3"/>
  <c r="C602" i="3" s="1"/>
  <c r="D601" i="3"/>
  <c r="C601" i="3"/>
  <c r="D600" i="3"/>
  <c r="C600" i="3"/>
  <c r="R599" i="3"/>
  <c r="D599" i="3"/>
  <c r="C599" i="3"/>
  <c r="D598" i="3"/>
  <c r="C598" i="3"/>
  <c r="R597" i="3"/>
  <c r="P597" i="3"/>
  <c r="D597" i="3"/>
  <c r="C597" i="3" s="1"/>
  <c r="D596" i="3"/>
  <c r="C596" i="3"/>
  <c r="D595" i="3"/>
  <c r="C595" i="3"/>
  <c r="P594" i="3"/>
  <c r="D594" i="3"/>
  <c r="C594" i="3"/>
  <c r="R593" i="3"/>
  <c r="P593" i="3"/>
  <c r="D593" i="3"/>
  <c r="C593" i="3" s="1"/>
  <c r="D592" i="3"/>
  <c r="C592" i="3"/>
  <c r="D591" i="3"/>
  <c r="C591" i="3"/>
  <c r="D590" i="3"/>
  <c r="C590" i="3" s="1"/>
  <c r="D589" i="3"/>
  <c r="C589" i="3" s="1"/>
  <c r="R588" i="3"/>
  <c r="P588" i="3"/>
  <c r="D588" i="3"/>
  <c r="C588" i="3"/>
  <c r="D587" i="3"/>
  <c r="C587" i="3" s="1"/>
  <c r="D586" i="3"/>
  <c r="C586" i="3" s="1"/>
  <c r="D585" i="3"/>
  <c r="C585" i="3"/>
  <c r="D584" i="3"/>
  <c r="C584" i="3"/>
  <c r="R583" i="3"/>
  <c r="P583" i="3"/>
  <c r="D583" i="3"/>
  <c r="C583" i="3" s="1"/>
  <c r="D582" i="3"/>
  <c r="C582" i="3"/>
  <c r="P581" i="3"/>
  <c r="D581" i="3"/>
  <c r="C581" i="3" s="1"/>
  <c r="D580" i="3"/>
  <c r="C580" i="3"/>
  <c r="D579" i="3"/>
  <c r="C579" i="3"/>
  <c r="D578" i="3"/>
  <c r="C578" i="3" s="1"/>
  <c r="D577" i="3"/>
  <c r="C577" i="3" s="1"/>
  <c r="D576" i="3"/>
  <c r="C576" i="3"/>
  <c r="D575" i="3"/>
  <c r="C575" i="3"/>
  <c r="D574" i="3"/>
  <c r="C574" i="3" s="1"/>
  <c r="D573" i="3"/>
  <c r="C573" i="3" s="1"/>
  <c r="D572" i="3"/>
  <c r="C572" i="3"/>
  <c r="D571" i="3"/>
  <c r="C571" i="3"/>
  <c r="D570" i="3"/>
  <c r="C570" i="3" s="1"/>
  <c r="D569" i="3"/>
  <c r="C569" i="3" s="1"/>
  <c r="R568" i="3"/>
  <c r="D568" i="3"/>
  <c r="C568" i="3" s="1"/>
  <c r="D567" i="3"/>
  <c r="C567" i="3"/>
  <c r="R566" i="3"/>
  <c r="D566" i="3"/>
  <c r="C566" i="3" s="1"/>
  <c r="R565" i="3"/>
  <c r="D565" i="3"/>
  <c r="C565" i="3" s="1"/>
  <c r="D564" i="3"/>
  <c r="C564" i="3"/>
  <c r="P563" i="3"/>
  <c r="D563" i="3"/>
  <c r="C563" i="3" s="1"/>
  <c r="D562" i="3"/>
  <c r="C562" i="3"/>
  <c r="D561" i="3"/>
  <c r="C561" i="3"/>
  <c r="D560" i="3"/>
  <c r="C560" i="3" s="1"/>
  <c r="D559" i="3"/>
  <c r="C559" i="3" s="1"/>
  <c r="R558" i="3"/>
  <c r="P558" i="3"/>
  <c r="C558" i="3" s="1"/>
  <c r="D558" i="3"/>
  <c r="D557" i="3"/>
  <c r="C557" i="3" s="1"/>
  <c r="D556" i="3"/>
  <c r="C556" i="3" s="1"/>
  <c r="D555" i="3"/>
  <c r="C555" i="3"/>
  <c r="D554" i="3"/>
  <c r="C554" i="3"/>
  <c r="D553" i="3"/>
  <c r="C553" i="3" s="1"/>
  <c r="R552" i="3"/>
  <c r="P552" i="3"/>
  <c r="D552" i="3"/>
  <c r="C552" i="3"/>
  <c r="D551" i="3"/>
  <c r="C551" i="3"/>
  <c r="D550" i="3"/>
  <c r="C550" i="3" s="1"/>
  <c r="P549" i="3"/>
  <c r="D549" i="3"/>
  <c r="D548" i="3"/>
  <c r="C548" i="3" s="1"/>
  <c r="R547" i="3"/>
  <c r="P547" i="3"/>
  <c r="D547" i="3"/>
  <c r="C547" i="3"/>
  <c r="D546" i="3"/>
  <c r="C546" i="3" s="1"/>
  <c r="R545" i="3"/>
  <c r="P545" i="3"/>
  <c r="D545" i="3"/>
  <c r="C545" i="3" s="1"/>
  <c r="R544" i="3"/>
  <c r="D544" i="3"/>
  <c r="C544" i="3" s="1"/>
  <c r="D543" i="3"/>
  <c r="C543" i="3"/>
  <c r="R542" i="3"/>
  <c r="P542" i="3"/>
  <c r="D542" i="3"/>
  <c r="C542" i="3" s="1"/>
  <c r="D541" i="3"/>
  <c r="C541" i="3" s="1"/>
  <c r="D540" i="3"/>
  <c r="C540" i="3"/>
  <c r="R539" i="3"/>
  <c r="D539" i="3"/>
  <c r="C539" i="3"/>
  <c r="R538" i="3"/>
  <c r="P538" i="3"/>
  <c r="D538" i="3"/>
  <c r="D537" i="3"/>
  <c r="C537" i="3" s="1"/>
  <c r="R536" i="3"/>
  <c r="K536" i="3"/>
  <c r="D536" i="3"/>
  <c r="C536" i="3"/>
  <c r="D535" i="3"/>
  <c r="C535" i="3" s="1"/>
  <c r="D534" i="3"/>
  <c r="C534" i="3" s="1"/>
  <c r="D533" i="3"/>
  <c r="C533" i="3"/>
  <c r="D532" i="3"/>
  <c r="C532" i="3"/>
  <c r="D531" i="3"/>
  <c r="C531" i="3" s="1"/>
  <c r="R530" i="3"/>
  <c r="D530" i="3"/>
  <c r="C530" i="3" s="1"/>
  <c r="P529" i="3"/>
  <c r="D529" i="3"/>
  <c r="C529" i="3"/>
  <c r="P528" i="3"/>
  <c r="D528" i="3"/>
  <c r="C528" i="3"/>
  <c r="D527" i="3"/>
  <c r="C527" i="3" s="1"/>
  <c r="P526" i="3"/>
  <c r="D526" i="3"/>
  <c r="C526" i="3" s="1"/>
  <c r="D525" i="3"/>
  <c r="C525" i="3" s="1"/>
  <c r="D524" i="3"/>
  <c r="C524" i="3" s="1"/>
  <c r="D523" i="3"/>
  <c r="C523" i="3" s="1"/>
  <c r="D522" i="3"/>
  <c r="C522" i="3"/>
  <c r="D521" i="3"/>
  <c r="C521" i="3" s="1"/>
  <c r="R520" i="3"/>
  <c r="P520" i="3"/>
  <c r="C520" i="3" s="1"/>
  <c r="D520" i="3"/>
  <c r="R519" i="3"/>
  <c r="D519" i="3"/>
  <c r="C519" i="3"/>
  <c r="D518" i="3"/>
  <c r="C518" i="3"/>
  <c r="D517" i="3"/>
  <c r="C517" i="3" s="1"/>
  <c r="D516" i="3"/>
  <c r="C516" i="3" s="1"/>
  <c r="D515" i="3"/>
  <c r="C515" i="3"/>
  <c r="D514" i="3"/>
  <c r="C514" i="3"/>
  <c r="D513" i="3"/>
  <c r="C513" i="3" s="1"/>
  <c r="D512" i="3"/>
  <c r="C512" i="3" s="1"/>
  <c r="P511" i="3"/>
  <c r="D511" i="3"/>
  <c r="C511" i="3" s="1"/>
  <c r="P510" i="3"/>
  <c r="D510" i="3"/>
  <c r="P509" i="3"/>
  <c r="D509" i="3"/>
  <c r="C509" i="3"/>
  <c r="P508" i="3"/>
  <c r="D508" i="3"/>
  <c r="C508" i="3"/>
  <c r="D507" i="3"/>
  <c r="C507" i="3" s="1"/>
  <c r="R506" i="3"/>
  <c r="D506" i="3"/>
  <c r="C506" i="3"/>
  <c r="D505" i="3"/>
  <c r="C505" i="3" s="1"/>
  <c r="D504" i="3"/>
  <c r="C504" i="3"/>
  <c r="D503" i="3"/>
  <c r="C503" i="3"/>
  <c r="R502" i="3"/>
  <c r="P502" i="3"/>
  <c r="D502" i="3"/>
  <c r="C502" i="3" s="1"/>
  <c r="D501" i="3"/>
  <c r="C501" i="3"/>
  <c r="D500" i="3"/>
  <c r="C500" i="3"/>
  <c r="P499" i="3"/>
  <c r="D499" i="3"/>
  <c r="C499" i="3"/>
  <c r="R498" i="3"/>
  <c r="P498" i="3"/>
  <c r="D498" i="3"/>
  <c r="C498" i="3" s="1"/>
  <c r="R497" i="3"/>
  <c r="P497" i="3"/>
  <c r="D497" i="3"/>
  <c r="C497" i="3"/>
  <c r="P496" i="3"/>
  <c r="D496" i="3"/>
  <c r="C496" i="3"/>
  <c r="R495" i="3"/>
  <c r="P495" i="3"/>
  <c r="D495" i="3"/>
  <c r="C495" i="3"/>
  <c r="D494" i="3"/>
  <c r="C494" i="3" s="1"/>
  <c r="D493" i="3"/>
  <c r="C493" i="3"/>
  <c r="P492" i="3"/>
  <c r="D492" i="3"/>
  <c r="C492" i="3" s="1"/>
  <c r="R491" i="3"/>
  <c r="P491" i="3"/>
  <c r="D491" i="3"/>
  <c r="C491" i="3"/>
  <c r="D490" i="3"/>
  <c r="C490" i="3" s="1"/>
  <c r="D489" i="3"/>
  <c r="C489" i="3" s="1"/>
  <c r="D488" i="3"/>
  <c r="C488" i="3"/>
  <c r="R487" i="3"/>
  <c r="P487" i="3"/>
  <c r="D487" i="3"/>
  <c r="C487" i="3" s="1"/>
  <c r="R486" i="3"/>
  <c r="P486" i="3"/>
  <c r="D486" i="3"/>
  <c r="C486" i="3"/>
  <c r="R485" i="3"/>
  <c r="P485" i="3"/>
  <c r="D485" i="3"/>
  <c r="C485" i="3" s="1"/>
  <c r="R484" i="3"/>
  <c r="P484" i="3"/>
  <c r="D484" i="3"/>
  <c r="C484" i="3"/>
  <c r="R483" i="3"/>
  <c r="P483" i="3"/>
  <c r="D483" i="3"/>
  <c r="C483" i="3" s="1"/>
  <c r="R482" i="3"/>
  <c r="P482" i="3"/>
  <c r="D482" i="3"/>
  <c r="C482" i="3"/>
  <c r="R481" i="3"/>
  <c r="P481" i="3"/>
  <c r="D481" i="3"/>
  <c r="C481" i="3" s="1"/>
  <c r="D480" i="3"/>
  <c r="C480" i="3" s="1"/>
  <c r="D479" i="3"/>
  <c r="C479" i="3"/>
  <c r="D478" i="3"/>
  <c r="C478" i="3"/>
  <c r="D477" i="3"/>
  <c r="C477" i="3" s="1"/>
  <c r="P476" i="3"/>
  <c r="D476" i="3"/>
  <c r="C476" i="3"/>
  <c r="R475" i="3"/>
  <c r="P475" i="3"/>
  <c r="D475" i="3"/>
  <c r="C475" i="3" s="1"/>
  <c r="R474" i="3"/>
  <c r="P474" i="3"/>
  <c r="D474" i="3"/>
  <c r="C474" i="3"/>
  <c r="D473" i="3"/>
  <c r="C473" i="3" s="1"/>
  <c r="D472" i="3"/>
  <c r="C472" i="3" s="1"/>
  <c r="R471" i="3"/>
  <c r="D471" i="3"/>
  <c r="C471" i="3" s="1"/>
  <c r="D470" i="3"/>
  <c r="C470" i="3"/>
  <c r="D469" i="3"/>
  <c r="C469" i="3"/>
  <c r="D468" i="3"/>
  <c r="C468" i="3" s="1"/>
  <c r="R467" i="3"/>
  <c r="P467" i="3"/>
  <c r="D467" i="3"/>
  <c r="C467" i="3"/>
  <c r="D466" i="3"/>
  <c r="C466" i="3"/>
  <c r="D465" i="3"/>
  <c r="C465" i="3" s="1"/>
  <c r="R464" i="3"/>
  <c r="P464" i="3"/>
  <c r="D464" i="3"/>
  <c r="C464" i="3"/>
  <c r="D463" i="3"/>
  <c r="C463" i="3"/>
  <c r="R462" i="3"/>
  <c r="P462" i="3"/>
  <c r="D462" i="3"/>
  <c r="C462" i="3" s="1"/>
  <c r="D461" i="3"/>
  <c r="C461" i="3"/>
  <c r="D460" i="3"/>
  <c r="C460" i="3"/>
  <c r="D459" i="3"/>
  <c r="C459" i="3" s="1"/>
  <c r="R458" i="3"/>
  <c r="R455" i="3" s="1"/>
  <c r="D458" i="3"/>
  <c r="C458" i="3"/>
  <c r="D457" i="3"/>
  <c r="C457" i="3" s="1"/>
  <c r="D456" i="3"/>
  <c r="C456" i="3"/>
  <c r="T455" i="3"/>
  <c r="S455" i="3"/>
  <c r="Q455" i="3"/>
  <c r="O455" i="3"/>
  <c r="N455" i="3"/>
  <c r="N454" i="3" s="1"/>
  <c r="M455" i="3"/>
  <c r="M454" i="3" s="1"/>
  <c r="L455" i="3"/>
  <c r="K455" i="3"/>
  <c r="J455" i="3"/>
  <c r="I455" i="3"/>
  <c r="H455" i="3"/>
  <c r="G455" i="3"/>
  <c r="F455" i="3"/>
  <c r="F454" i="3" s="1"/>
  <c r="E455" i="3"/>
  <c r="E454" i="3" s="1"/>
  <c r="S454" i="3"/>
  <c r="H454" i="3"/>
  <c r="D452" i="3"/>
  <c r="C452" i="3" s="1"/>
  <c r="D451" i="3"/>
  <c r="T450" i="3"/>
  <c r="S450" i="3"/>
  <c r="R450" i="3"/>
  <c r="Q450" i="3"/>
  <c r="P450" i="3"/>
  <c r="O450" i="3"/>
  <c r="N450" i="3"/>
  <c r="M450" i="3"/>
  <c r="L450" i="3"/>
  <c r="K450" i="3"/>
  <c r="J450" i="3"/>
  <c r="I450" i="3"/>
  <c r="H450" i="3"/>
  <c r="G450" i="3"/>
  <c r="F450" i="3"/>
  <c r="E450" i="3"/>
  <c r="D449" i="3"/>
  <c r="C449" i="3"/>
  <c r="D448" i="3"/>
  <c r="C448" i="3" s="1"/>
  <c r="D447" i="3"/>
  <c r="D446" i="3" s="1"/>
  <c r="C447" i="3"/>
  <c r="C446" i="3" s="1"/>
  <c r="T446" i="3"/>
  <c r="S446" i="3"/>
  <c r="R446" i="3"/>
  <c r="Q446" i="3"/>
  <c r="P446" i="3"/>
  <c r="O446" i="3"/>
  <c r="N446" i="3"/>
  <c r="M446" i="3"/>
  <c r="M409" i="3" s="1"/>
  <c r="L446" i="3"/>
  <c r="K446" i="3"/>
  <c r="J446" i="3"/>
  <c r="I446" i="3"/>
  <c r="H446" i="3"/>
  <c r="G446" i="3"/>
  <c r="F446" i="3"/>
  <c r="E446" i="3"/>
  <c r="E409" i="3" s="1"/>
  <c r="D445" i="3"/>
  <c r="C445" i="3"/>
  <c r="D444" i="3"/>
  <c r="C444" i="3" s="1"/>
  <c r="D443" i="3"/>
  <c r="C443" i="3"/>
  <c r="D442" i="3"/>
  <c r="C442" i="3"/>
  <c r="D441" i="3"/>
  <c r="C441" i="3"/>
  <c r="D440" i="3"/>
  <c r="C440" i="3" s="1"/>
  <c r="D439" i="3"/>
  <c r="C439" i="3" s="1"/>
  <c r="D438" i="3"/>
  <c r="C438" i="3"/>
  <c r="D437" i="3"/>
  <c r="C437" i="3"/>
  <c r="D436" i="3"/>
  <c r="C436" i="3" s="1"/>
  <c r="D435" i="3"/>
  <c r="C435" i="3" s="1"/>
  <c r="D434" i="3"/>
  <c r="C434" i="3"/>
  <c r="D433" i="3"/>
  <c r="C433" i="3"/>
  <c r="D432" i="3"/>
  <c r="C432" i="3" s="1"/>
  <c r="D431" i="3"/>
  <c r="C431" i="3"/>
  <c r="D430" i="3"/>
  <c r="C430" i="3"/>
  <c r="D429" i="3"/>
  <c r="C429" i="3"/>
  <c r="T428" i="3"/>
  <c r="S428" i="3"/>
  <c r="R428" i="3"/>
  <c r="R409" i="3" s="1"/>
  <c r="Q428" i="3"/>
  <c r="Q409" i="3" s="1"/>
  <c r="P428" i="3"/>
  <c r="O428" i="3"/>
  <c r="N428" i="3"/>
  <c r="M428" i="3"/>
  <c r="L428" i="3"/>
  <c r="K428" i="3"/>
  <c r="J428" i="3"/>
  <c r="I428" i="3"/>
  <c r="I409" i="3" s="1"/>
  <c r="H428" i="3"/>
  <c r="G428" i="3"/>
  <c r="F428" i="3"/>
  <c r="E428" i="3"/>
  <c r="D427" i="3"/>
  <c r="C427" i="3"/>
  <c r="D426" i="3"/>
  <c r="C426" i="3"/>
  <c r="D425" i="3"/>
  <c r="C425" i="3"/>
  <c r="D424" i="3"/>
  <c r="C424" i="3" s="1"/>
  <c r="P423" i="3"/>
  <c r="D423" i="3"/>
  <c r="C423" i="3" s="1"/>
  <c r="D422" i="3"/>
  <c r="C422" i="3" s="1"/>
  <c r="D421" i="3"/>
  <c r="C421" i="3"/>
  <c r="P420" i="3"/>
  <c r="D420" i="3"/>
  <c r="C420" i="3"/>
  <c r="D419" i="3"/>
  <c r="C419" i="3"/>
  <c r="D418" i="3"/>
  <c r="C418" i="3"/>
  <c r="D417" i="3"/>
  <c r="C417" i="3" s="1"/>
  <c r="D416" i="3"/>
  <c r="C416" i="3" s="1"/>
  <c r="D415" i="3"/>
  <c r="C415" i="3"/>
  <c r="D414" i="3"/>
  <c r="C414" i="3"/>
  <c r="D413" i="3"/>
  <c r="C413" i="3" s="1"/>
  <c r="D412" i="3"/>
  <c r="D411" i="3"/>
  <c r="C411" i="3"/>
  <c r="T410" i="3"/>
  <c r="S410" i="3"/>
  <c r="S409" i="3" s="1"/>
  <c r="R410" i="3"/>
  <c r="Q410" i="3"/>
  <c r="P410" i="3"/>
  <c r="P409" i="3" s="1"/>
  <c r="O410" i="3"/>
  <c r="O409" i="3" s="1"/>
  <c r="N410" i="3"/>
  <c r="M410" i="3"/>
  <c r="L410" i="3"/>
  <c r="K410" i="3"/>
  <c r="K409" i="3" s="1"/>
  <c r="J410" i="3"/>
  <c r="I410" i="3"/>
  <c r="H410" i="3"/>
  <c r="H409" i="3" s="1"/>
  <c r="G410" i="3"/>
  <c r="G409" i="3" s="1"/>
  <c r="F410" i="3"/>
  <c r="E410" i="3"/>
  <c r="T409" i="3"/>
  <c r="L409" i="3"/>
  <c r="J409" i="3"/>
  <c r="P408" i="3"/>
  <c r="D408" i="3"/>
  <c r="C408" i="3" s="1"/>
  <c r="D407" i="3"/>
  <c r="C407" i="3" s="1"/>
  <c r="D406" i="3"/>
  <c r="C406" i="3"/>
  <c r="P405" i="3"/>
  <c r="D405" i="3"/>
  <c r="C405" i="3" s="1"/>
  <c r="D404" i="3"/>
  <c r="C404" i="3"/>
  <c r="D403" i="3"/>
  <c r="C403" i="3"/>
  <c r="D402" i="3"/>
  <c r="C402" i="3" s="1"/>
  <c r="P401" i="3"/>
  <c r="P397" i="3" s="1"/>
  <c r="D401" i="3"/>
  <c r="D400" i="3"/>
  <c r="C400" i="3" s="1"/>
  <c r="D399" i="3"/>
  <c r="C399" i="3"/>
  <c r="D398" i="3"/>
  <c r="C398" i="3"/>
  <c r="T397" i="3"/>
  <c r="S397" i="3"/>
  <c r="R397" i="3"/>
  <c r="Q397" i="3"/>
  <c r="O397" i="3"/>
  <c r="N397" i="3"/>
  <c r="M397" i="3"/>
  <c r="L397" i="3"/>
  <c r="K397" i="3"/>
  <c r="J397" i="3"/>
  <c r="I397" i="3"/>
  <c r="H397" i="3"/>
  <c r="G397" i="3"/>
  <c r="F397" i="3"/>
  <c r="E397" i="3"/>
  <c r="D396" i="3"/>
  <c r="C396" i="3" s="1"/>
  <c r="D395" i="3"/>
  <c r="C395" i="3"/>
  <c r="D394" i="3"/>
  <c r="C394" i="3"/>
  <c r="D393" i="3"/>
  <c r="T392" i="3"/>
  <c r="S392" i="3"/>
  <c r="R392" i="3"/>
  <c r="Q392" i="3"/>
  <c r="P392" i="3"/>
  <c r="O392" i="3"/>
  <c r="N392" i="3"/>
  <c r="M392" i="3"/>
  <c r="L392" i="3"/>
  <c r="K392" i="3"/>
  <c r="J392" i="3"/>
  <c r="I392" i="3"/>
  <c r="H392" i="3"/>
  <c r="G392" i="3"/>
  <c r="F392" i="3"/>
  <c r="E392" i="3"/>
  <c r="D391" i="3"/>
  <c r="C391" i="3"/>
  <c r="D390" i="3"/>
  <c r="C390" i="3"/>
  <c r="D389" i="3"/>
  <c r="D388" i="3"/>
  <c r="C388" i="3" s="1"/>
  <c r="D387" i="3"/>
  <c r="C387" i="3"/>
  <c r="D386" i="3"/>
  <c r="C386" i="3"/>
  <c r="T385" i="3"/>
  <c r="S385" i="3"/>
  <c r="R385" i="3"/>
  <c r="Q385" i="3"/>
  <c r="P385" i="3"/>
  <c r="O385" i="3"/>
  <c r="N385" i="3"/>
  <c r="M385" i="3"/>
  <c r="L385" i="3"/>
  <c r="K385" i="3"/>
  <c r="J385" i="3"/>
  <c r="I385" i="3"/>
  <c r="H385" i="3"/>
  <c r="G385" i="3"/>
  <c r="F385" i="3"/>
  <c r="E385" i="3"/>
  <c r="D384" i="3"/>
  <c r="C384" i="3" s="1"/>
  <c r="D383" i="3"/>
  <c r="C383" i="3"/>
  <c r="D382" i="3"/>
  <c r="C382" i="3"/>
  <c r="D381" i="3"/>
  <c r="P380" i="3"/>
  <c r="P379" i="3" s="1"/>
  <c r="D380" i="3"/>
  <c r="C380" i="3"/>
  <c r="T379" i="3"/>
  <c r="S379" i="3"/>
  <c r="R379" i="3"/>
  <c r="Q379" i="3"/>
  <c r="O379" i="3"/>
  <c r="N379" i="3"/>
  <c r="M379" i="3"/>
  <c r="L379" i="3"/>
  <c r="K379" i="3"/>
  <c r="J379" i="3"/>
  <c r="I379" i="3"/>
  <c r="H379" i="3"/>
  <c r="G379" i="3"/>
  <c r="F379" i="3"/>
  <c r="E379" i="3"/>
  <c r="D378" i="3"/>
  <c r="D376" i="3" s="1"/>
  <c r="C378" i="3"/>
  <c r="C376" i="3" s="1"/>
  <c r="D377" i="3"/>
  <c r="C377" i="3"/>
  <c r="T376" i="3"/>
  <c r="S376" i="3"/>
  <c r="R376" i="3"/>
  <c r="Q376" i="3"/>
  <c r="P376" i="3"/>
  <c r="O376" i="3"/>
  <c r="N376" i="3"/>
  <c r="M376" i="3"/>
  <c r="L376" i="3"/>
  <c r="K376" i="3"/>
  <c r="J376" i="3"/>
  <c r="I376" i="3"/>
  <c r="H376" i="3"/>
  <c r="G376" i="3"/>
  <c r="F376" i="3"/>
  <c r="E376" i="3"/>
  <c r="D375" i="3"/>
  <c r="C375" i="3" s="1"/>
  <c r="D374" i="3"/>
  <c r="D370" i="3" s="1"/>
  <c r="C374" i="3"/>
  <c r="C370" i="3" s="1"/>
  <c r="D373" i="3"/>
  <c r="C373" i="3"/>
  <c r="D372" i="3"/>
  <c r="C372" i="3"/>
  <c r="D371" i="3"/>
  <c r="C371" i="3" s="1"/>
  <c r="T370" i="3"/>
  <c r="S370" i="3"/>
  <c r="R370" i="3"/>
  <c r="Q370" i="3"/>
  <c r="P370" i="3"/>
  <c r="O370" i="3"/>
  <c r="N370" i="3"/>
  <c r="M370" i="3"/>
  <c r="L370" i="3"/>
  <c r="K370" i="3"/>
  <c r="J370" i="3"/>
  <c r="I370" i="3"/>
  <c r="H370" i="3"/>
  <c r="G370" i="3"/>
  <c r="F370" i="3"/>
  <c r="E370" i="3"/>
  <c r="D369" i="3"/>
  <c r="C369" i="3"/>
  <c r="D368" i="3"/>
  <c r="C368" i="3"/>
  <c r="D367" i="3"/>
  <c r="C367" i="3" s="1"/>
  <c r="D366" i="3"/>
  <c r="C366" i="3"/>
  <c r="D365" i="3"/>
  <c r="C365" i="3"/>
  <c r="D364" i="3"/>
  <c r="C364" i="3"/>
  <c r="D363" i="3"/>
  <c r="C363" i="3" s="1"/>
  <c r="P362" i="3"/>
  <c r="D362" i="3"/>
  <c r="D361" i="3"/>
  <c r="C361" i="3" s="1"/>
  <c r="T360" i="3"/>
  <c r="S360" i="3"/>
  <c r="R360" i="3"/>
  <c r="Q360" i="3"/>
  <c r="P360" i="3"/>
  <c r="O360" i="3"/>
  <c r="N360" i="3"/>
  <c r="M360" i="3"/>
  <c r="L360" i="3"/>
  <c r="K360" i="3"/>
  <c r="J360" i="3"/>
  <c r="I360" i="3"/>
  <c r="H360" i="3"/>
  <c r="G360" i="3"/>
  <c r="F360" i="3"/>
  <c r="E360" i="3"/>
  <c r="D359" i="3"/>
  <c r="C359" i="3"/>
  <c r="D358" i="3"/>
  <c r="C358" i="3" s="1"/>
  <c r="D357" i="3"/>
  <c r="C357" i="3" s="1"/>
  <c r="D356" i="3"/>
  <c r="C356" i="3"/>
  <c r="D355" i="3"/>
  <c r="C355" i="3"/>
  <c r="D354" i="3"/>
  <c r="C354" i="3" s="1"/>
  <c r="D353" i="3"/>
  <c r="C353" i="3" s="1"/>
  <c r="D352" i="3"/>
  <c r="C352" i="3"/>
  <c r="D351" i="3"/>
  <c r="C351" i="3"/>
  <c r="D350" i="3"/>
  <c r="T349" i="3"/>
  <c r="S349" i="3"/>
  <c r="R349" i="3"/>
  <c r="Q349" i="3"/>
  <c r="P349" i="3"/>
  <c r="O349" i="3"/>
  <c r="N349" i="3"/>
  <c r="M349" i="3"/>
  <c r="L349" i="3"/>
  <c r="K349" i="3"/>
  <c r="J349" i="3"/>
  <c r="I349" i="3"/>
  <c r="H349" i="3"/>
  <c r="G349" i="3"/>
  <c r="F349" i="3"/>
  <c r="E349" i="3"/>
  <c r="D348" i="3"/>
  <c r="C348" i="3"/>
  <c r="D347" i="3"/>
  <c r="C347" i="3"/>
  <c r="D346" i="3"/>
  <c r="C346" i="3" s="1"/>
  <c r="D345" i="3"/>
  <c r="C345" i="3" s="1"/>
  <c r="D344" i="3"/>
  <c r="C344" i="3"/>
  <c r="D343" i="3"/>
  <c r="C343" i="3"/>
  <c r="D342" i="3"/>
  <c r="C342" i="3" s="1"/>
  <c r="D341" i="3"/>
  <c r="C341" i="3" s="1"/>
  <c r="D340" i="3"/>
  <c r="C340" i="3"/>
  <c r="D339" i="3"/>
  <c r="C339" i="3"/>
  <c r="D338" i="3"/>
  <c r="C338" i="3" s="1"/>
  <c r="D337" i="3"/>
  <c r="C337" i="3" s="1"/>
  <c r="D336" i="3"/>
  <c r="C336" i="3"/>
  <c r="D335" i="3"/>
  <c r="C335" i="3"/>
  <c r="C334" i="3" s="1"/>
  <c r="T334" i="3"/>
  <c r="S334" i="3"/>
  <c r="R334" i="3"/>
  <c r="Q334" i="3"/>
  <c r="P334" i="3"/>
  <c r="O334" i="3"/>
  <c r="N334" i="3"/>
  <c r="M334" i="3"/>
  <c r="L334" i="3"/>
  <c r="K334" i="3"/>
  <c r="J334" i="3"/>
  <c r="I334" i="3"/>
  <c r="H334" i="3"/>
  <c r="G334" i="3"/>
  <c r="F334" i="3"/>
  <c r="E334" i="3"/>
  <c r="D333" i="3"/>
  <c r="C333" i="3" s="1"/>
  <c r="D332" i="3"/>
  <c r="C332" i="3"/>
  <c r="D331" i="3"/>
  <c r="C331" i="3"/>
  <c r="D330" i="3"/>
  <c r="P329" i="3"/>
  <c r="P328" i="3" s="1"/>
  <c r="D329" i="3"/>
  <c r="C329" i="3"/>
  <c r="T328" i="3"/>
  <c r="S328" i="3"/>
  <c r="R328" i="3"/>
  <c r="Q328" i="3"/>
  <c r="O328" i="3"/>
  <c r="N328" i="3"/>
  <c r="M328" i="3"/>
  <c r="L328" i="3"/>
  <c r="K328" i="3"/>
  <c r="J328" i="3"/>
  <c r="I328" i="3"/>
  <c r="H328" i="3"/>
  <c r="G328" i="3"/>
  <c r="F328" i="3"/>
  <c r="E328" i="3"/>
  <c r="D327" i="3"/>
  <c r="C327" i="3"/>
  <c r="D326" i="3"/>
  <c r="C326" i="3"/>
  <c r="D325" i="3"/>
  <c r="C325" i="3"/>
  <c r="D324" i="3"/>
  <c r="C324" i="3" s="1"/>
  <c r="D323" i="3"/>
  <c r="C323" i="3" s="1"/>
  <c r="D322" i="3"/>
  <c r="C322" i="3"/>
  <c r="D321" i="3"/>
  <c r="C321" i="3"/>
  <c r="D320" i="3"/>
  <c r="C320" i="3" s="1"/>
  <c r="P319" i="3"/>
  <c r="P314" i="3" s="1"/>
  <c r="D319" i="3"/>
  <c r="D318" i="3"/>
  <c r="C318" i="3" s="1"/>
  <c r="D317" i="3"/>
  <c r="C317" i="3"/>
  <c r="D316" i="3"/>
  <c r="C316" i="3"/>
  <c r="D315" i="3"/>
  <c r="T314" i="3"/>
  <c r="S314" i="3"/>
  <c r="R314" i="3"/>
  <c r="Q314" i="3"/>
  <c r="O314" i="3"/>
  <c r="N314" i="3"/>
  <c r="M314" i="3"/>
  <c r="L314" i="3"/>
  <c r="K314" i="3"/>
  <c r="J314" i="3"/>
  <c r="I314" i="3"/>
  <c r="H314" i="3"/>
  <c r="G314" i="3"/>
  <c r="F314" i="3"/>
  <c r="E314" i="3"/>
  <c r="P313" i="3"/>
  <c r="D313" i="3"/>
  <c r="C313" i="3" s="1"/>
  <c r="P312" i="3"/>
  <c r="D312" i="3"/>
  <c r="P311" i="3"/>
  <c r="D311" i="3"/>
  <c r="C311" i="3"/>
  <c r="P310" i="3"/>
  <c r="P308" i="3" s="1"/>
  <c r="D310" i="3"/>
  <c r="C310" i="3"/>
  <c r="D309" i="3"/>
  <c r="T308" i="3"/>
  <c r="S308" i="3"/>
  <c r="R308" i="3"/>
  <c r="Q308" i="3"/>
  <c r="O308" i="3"/>
  <c r="N308" i="3"/>
  <c r="M308" i="3"/>
  <c r="L308" i="3"/>
  <c r="K308" i="3"/>
  <c r="J308" i="3"/>
  <c r="I308" i="3"/>
  <c r="H308" i="3"/>
  <c r="G308" i="3"/>
  <c r="F308" i="3"/>
  <c r="E308" i="3"/>
  <c r="D307" i="3"/>
  <c r="C307" i="3"/>
  <c r="D306" i="3"/>
  <c r="C306" i="3"/>
  <c r="C305" i="3" s="1"/>
  <c r="T305" i="3"/>
  <c r="S305" i="3"/>
  <c r="R305" i="3"/>
  <c r="Q305" i="3"/>
  <c r="P305" i="3"/>
  <c r="O305" i="3"/>
  <c r="N305" i="3"/>
  <c r="M305" i="3"/>
  <c r="L305" i="3"/>
  <c r="K305" i="3"/>
  <c r="J305" i="3"/>
  <c r="I305" i="3"/>
  <c r="H305" i="3"/>
  <c r="G305" i="3"/>
  <c r="F305" i="3"/>
  <c r="E305" i="3"/>
  <c r="D305" i="3"/>
  <c r="D304" i="3"/>
  <c r="C304" i="3" s="1"/>
  <c r="C302" i="3" s="1"/>
  <c r="D303" i="3"/>
  <c r="D302" i="3" s="1"/>
  <c r="C303" i="3"/>
  <c r="T302" i="3"/>
  <c r="S302" i="3"/>
  <c r="R302" i="3"/>
  <c r="Q302" i="3"/>
  <c r="P302" i="3"/>
  <c r="O302" i="3"/>
  <c r="N302" i="3"/>
  <c r="M302" i="3"/>
  <c r="L302" i="3"/>
  <c r="K302" i="3"/>
  <c r="J302" i="3"/>
  <c r="I302" i="3"/>
  <c r="H302" i="3"/>
  <c r="G302" i="3"/>
  <c r="F302" i="3"/>
  <c r="E302" i="3"/>
  <c r="D301" i="3"/>
  <c r="C301" i="3" s="1"/>
  <c r="D300" i="3"/>
  <c r="C300" i="3" s="1"/>
  <c r="D299" i="3"/>
  <c r="C299" i="3"/>
  <c r="D298" i="3"/>
  <c r="C298" i="3"/>
  <c r="D297" i="3"/>
  <c r="C297" i="3" s="1"/>
  <c r="D296" i="3"/>
  <c r="C296" i="3" s="1"/>
  <c r="D295" i="3"/>
  <c r="C295" i="3"/>
  <c r="D294" i="3"/>
  <c r="C294" i="3"/>
  <c r="D293" i="3"/>
  <c r="C293" i="3" s="1"/>
  <c r="D292" i="3"/>
  <c r="C292" i="3" s="1"/>
  <c r="D291" i="3"/>
  <c r="C291" i="3"/>
  <c r="D290" i="3"/>
  <c r="C290" i="3"/>
  <c r="D289" i="3"/>
  <c r="C289" i="3" s="1"/>
  <c r="D288" i="3"/>
  <c r="C288" i="3" s="1"/>
  <c r="D287" i="3"/>
  <c r="C287" i="3"/>
  <c r="D286" i="3"/>
  <c r="C286" i="3"/>
  <c r="T285" i="3"/>
  <c r="S285" i="3"/>
  <c r="R285" i="3"/>
  <c r="Q285" i="3"/>
  <c r="P285" i="3"/>
  <c r="O285" i="3"/>
  <c r="N285" i="3"/>
  <c r="M285" i="3"/>
  <c r="L285" i="3"/>
  <c r="K285" i="3"/>
  <c r="J285" i="3"/>
  <c r="I285" i="3"/>
  <c r="H285" i="3"/>
  <c r="G285" i="3"/>
  <c r="F285" i="3"/>
  <c r="E285" i="3"/>
  <c r="D284" i="3"/>
  <c r="C284" i="3" s="1"/>
  <c r="D283" i="3"/>
  <c r="C283" i="3"/>
  <c r="D282" i="3"/>
  <c r="C282" i="3"/>
  <c r="D281" i="3"/>
  <c r="C281" i="3" s="1"/>
  <c r="D280" i="3"/>
  <c r="C280" i="3" s="1"/>
  <c r="D279" i="3"/>
  <c r="C279" i="3"/>
  <c r="D278" i="3"/>
  <c r="C278" i="3"/>
  <c r="D277" i="3"/>
  <c r="C277" i="3" s="1"/>
  <c r="D276" i="3"/>
  <c r="C276" i="3" s="1"/>
  <c r="D275" i="3"/>
  <c r="C275" i="3"/>
  <c r="D274" i="3"/>
  <c r="C274" i="3"/>
  <c r="D273" i="3"/>
  <c r="C273" i="3" s="1"/>
  <c r="D272" i="3"/>
  <c r="C272" i="3" s="1"/>
  <c r="D271" i="3"/>
  <c r="C271" i="3"/>
  <c r="D270" i="3"/>
  <c r="C270" i="3"/>
  <c r="T269" i="3"/>
  <c r="S269" i="3"/>
  <c r="R269" i="3"/>
  <c r="Q269" i="3"/>
  <c r="P269" i="3"/>
  <c r="O269" i="3"/>
  <c r="N269" i="3"/>
  <c r="M269" i="3"/>
  <c r="L269" i="3"/>
  <c r="K269" i="3"/>
  <c r="J269" i="3"/>
  <c r="I269" i="3"/>
  <c r="H269" i="3"/>
  <c r="G269" i="3"/>
  <c r="F269" i="3"/>
  <c r="E269" i="3"/>
  <c r="P268" i="3"/>
  <c r="P266" i="3" s="1"/>
  <c r="D268" i="3"/>
  <c r="C268" i="3"/>
  <c r="D267" i="3"/>
  <c r="C267" i="3" s="1"/>
  <c r="T266" i="3"/>
  <c r="S266" i="3"/>
  <c r="R266" i="3"/>
  <c r="Q266" i="3"/>
  <c r="O266" i="3"/>
  <c r="N266" i="3"/>
  <c r="M266" i="3"/>
  <c r="L266" i="3"/>
  <c r="K266" i="3"/>
  <c r="J266" i="3"/>
  <c r="I266" i="3"/>
  <c r="H266" i="3"/>
  <c r="G266" i="3"/>
  <c r="F266" i="3"/>
  <c r="E266" i="3"/>
  <c r="D266" i="3"/>
  <c r="C266" i="3"/>
  <c r="D265" i="3"/>
  <c r="C265" i="3"/>
  <c r="D264" i="3"/>
  <c r="C264" i="3"/>
  <c r="P263" i="3"/>
  <c r="P258" i="3" s="1"/>
  <c r="D263" i="3"/>
  <c r="C263" i="3"/>
  <c r="D262" i="3"/>
  <c r="C262" i="3" s="1"/>
  <c r="D261" i="3"/>
  <c r="C261" i="3" s="1"/>
  <c r="D260" i="3"/>
  <c r="C260" i="3"/>
  <c r="P259" i="3"/>
  <c r="D259" i="3"/>
  <c r="C259" i="3"/>
  <c r="T258" i="3"/>
  <c r="S258" i="3"/>
  <c r="R258" i="3"/>
  <c r="Q258" i="3"/>
  <c r="O258" i="3"/>
  <c r="N258" i="3"/>
  <c r="M258" i="3"/>
  <c r="L258" i="3"/>
  <c r="K258" i="3"/>
  <c r="J258" i="3"/>
  <c r="I258" i="3"/>
  <c r="H258" i="3"/>
  <c r="G258" i="3"/>
  <c r="F258" i="3"/>
  <c r="E258" i="3"/>
  <c r="D257" i="3"/>
  <c r="C257" i="3"/>
  <c r="C256" i="3" s="1"/>
  <c r="T256" i="3"/>
  <c r="S256" i="3"/>
  <c r="R256" i="3"/>
  <c r="Q256" i="3"/>
  <c r="P256" i="3"/>
  <c r="O256" i="3"/>
  <c r="N256" i="3"/>
  <c r="M256" i="3"/>
  <c r="L256" i="3"/>
  <c r="K256" i="3"/>
  <c r="J256" i="3"/>
  <c r="I256" i="3"/>
  <c r="H256" i="3"/>
  <c r="G256" i="3"/>
  <c r="F256" i="3"/>
  <c r="E256" i="3"/>
  <c r="D256" i="3"/>
  <c r="P255" i="3"/>
  <c r="P234" i="3" s="1"/>
  <c r="D255" i="3"/>
  <c r="D254" i="3"/>
  <c r="C254" i="3" s="1"/>
  <c r="P253" i="3"/>
  <c r="D253" i="3"/>
  <c r="C253" i="3" s="1"/>
  <c r="D252" i="3"/>
  <c r="C252" i="3"/>
  <c r="D251" i="3"/>
  <c r="C251" i="3"/>
  <c r="D250" i="3"/>
  <c r="C250" i="3"/>
  <c r="D249" i="3"/>
  <c r="C249" i="3" s="1"/>
  <c r="D248" i="3"/>
  <c r="C248" i="3"/>
  <c r="D247" i="3"/>
  <c r="C247" i="3"/>
  <c r="D246" i="3"/>
  <c r="C246" i="3"/>
  <c r="D245" i="3"/>
  <c r="C245" i="3" s="1"/>
  <c r="D244" i="3"/>
  <c r="C244" i="3"/>
  <c r="D243" i="3"/>
  <c r="C243" i="3"/>
  <c r="D242" i="3"/>
  <c r="C242" i="3"/>
  <c r="D241" i="3"/>
  <c r="C241" i="3" s="1"/>
  <c r="D240" i="3"/>
  <c r="C240" i="3"/>
  <c r="D239" i="3"/>
  <c r="C239" i="3"/>
  <c r="D238" i="3"/>
  <c r="C238" i="3"/>
  <c r="D237" i="3"/>
  <c r="C237" i="3" s="1"/>
  <c r="D236" i="3"/>
  <c r="C236" i="3"/>
  <c r="D235" i="3"/>
  <c r="C235" i="3"/>
  <c r="T234" i="3"/>
  <c r="S234" i="3"/>
  <c r="R234" i="3"/>
  <c r="Q234" i="3"/>
  <c r="O234" i="3"/>
  <c r="N234" i="3"/>
  <c r="M234" i="3"/>
  <c r="L234" i="3"/>
  <c r="K234" i="3"/>
  <c r="J234" i="3"/>
  <c r="I234" i="3"/>
  <c r="H234" i="3"/>
  <c r="G234" i="3"/>
  <c r="F234" i="3"/>
  <c r="E234" i="3"/>
  <c r="D233" i="3"/>
  <c r="C233" i="3" s="1"/>
  <c r="D232" i="3"/>
  <c r="C232" i="3" s="1"/>
  <c r="D231" i="3"/>
  <c r="C231" i="3"/>
  <c r="D230" i="3"/>
  <c r="C230" i="3"/>
  <c r="D229" i="3"/>
  <c r="C229" i="3" s="1"/>
  <c r="D228" i="3"/>
  <c r="C228" i="3"/>
  <c r="T227" i="3"/>
  <c r="S227" i="3"/>
  <c r="R227" i="3"/>
  <c r="Q227" i="3"/>
  <c r="P227" i="3"/>
  <c r="O227" i="3"/>
  <c r="N227" i="3"/>
  <c r="M227" i="3"/>
  <c r="L227" i="3"/>
  <c r="K227" i="3"/>
  <c r="J227" i="3"/>
  <c r="I227" i="3"/>
  <c r="H227" i="3"/>
  <c r="G227" i="3"/>
  <c r="F227" i="3"/>
  <c r="E227" i="3"/>
  <c r="E10" i="3" s="1"/>
  <c r="D226" i="3"/>
  <c r="C226" i="3"/>
  <c r="D225" i="3"/>
  <c r="C225" i="3" s="1"/>
  <c r="D224" i="3"/>
  <c r="C224" i="3"/>
  <c r="D223" i="3"/>
  <c r="C223" i="3"/>
  <c r="D222" i="3"/>
  <c r="C222" i="3"/>
  <c r="C218" i="3" s="1"/>
  <c r="D221" i="3"/>
  <c r="C221" i="3" s="1"/>
  <c r="D220" i="3"/>
  <c r="C220" i="3"/>
  <c r="D219" i="3"/>
  <c r="C219" i="3"/>
  <c r="T218" i="3"/>
  <c r="S218" i="3"/>
  <c r="R218" i="3"/>
  <c r="Q218" i="3"/>
  <c r="P218" i="3"/>
  <c r="O218" i="3"/>
  <c r="N218" i="3"/>
  <c r="M218" i="3"/>
  <c r="L218" i="3"/>
  <c r="K218" i="3"/>
  <c r="J218" i="3"/>
  <c r="I218" i="3"/>
  <c r="H218" i="3"/>
  <c r="G218" i="3"/>
  <c r="F218" i="3"/>
  <c r="E218" i="3"/>
  <c r="D217" i="3"/>
  <c r="C217" i="3" s="1"/>
  <c r="D216" i="3"/>
  <c r="D215" i="3"/>
  <c r="C215" i="3"/>
  <c r="D214" i="3"/>
  <c r="C214" i="3"/>
  <c r="T213" i="3"/>
  <c r="S213" i="3"/>
  <c r="R213" i="3"/>
  <c r="Q213" i="3"/>
  <c r="P213" i="3"/>
  <c r="O213" i="3"/>
  <c r="N213" i="3"/>
  <c r="M213" i="3"/>
  <c r="L213" i="3"/>
  <c r="K213" i="3"/>
  <c r="J213" i="3"/>
  <c r="I213" i="3"/>
  <c r="H213" i="3"/>
  <c r="G213" i="3"/>
  <c r="F213" i="3"/>
  <c r="E213" i="3"/>
  <c r="D212" i="3"/>
  <c r="C212" i="3"/>
  <c r="D211" i="3"/>
  <c r="C211" i="3"/>
  <c r="D210" i="3"/>
  <c r="C210" i="3"/>
  <c r="D209" i="3"/>
  <c r="C209" i="3" s="1"/>
  <c r="D208" i="3"/>
  <c r="C208" i="3"/>
  <c r="D207" i="3"/>
  <c r="C207" i="3"/>
  <c r="P206" i="3"/>
  <c r="D206" i="3"/>
  <c r="C206" i="3"/>
  <c r="D205" i="3"/>
  <c r="C205" i="3"/>
  <c r="D204" i="3"/>
  <c r="C204" i="3" s="1"/>
  <c r="D203" i="3"/>
  <c r="C203" i="3" s="1"/>
  <c r="D202" i="3"/>
  <c r="C202" i="3" s="1"/>
  <c r="D201" i="3"/>
  <c r="C201" i="3"/>
  <c r="D200" i="3"/>
  <c r="C200" i="3" s="1"/>
  <c r="P199" i="3"/>
  <c r="D199" i="3"/>
  <c r="C199" i="3"/>
  <c r="D198" i="3"/>
  <c r="C198" i="3" s="1"/>
  <c r="P197" i="3"/>
  <c r="D197" i="3"/>
  <c r="C197" i="3" s="1"/>
  <c r="D196" i="3"/>
  <c r="C196" i="3" s="1"/>
  <c r="D195" i="3"/>
  <c r="C195" i="3"/>
  <c r="D194" i="3"/>
  <c r="C194" i="3"/>
  <c r="D193" i="3"/>
  <c r="C193" i="3" s="1"/>
  <c r="D192" i="3"/>
  <c r="C192" i="3" s="1"/>
  <c r="P191" i="3"/>
  <c r="D191" i="3"/>
  <c r="C191" i="3" s="1"/>
  <c r="D190" i="3"/>
  <c r="C190" i="3"/>
  <c r="P189" i="3"/>
  <c r="D189" i="3"/>
  <c r="C189" i="3" s="1"/>
  <c r="D188" i="3"/>
  <c r="C188" i="3" s="1"/>
  <c r="D187" i="3"/>
  <c r="C187" i="3"/>
  <c r="D186" i="3"/>
  <c r="C186" i="3" s="1"/>
  <c r="D185" i="3"/>
  <c r="C185" i="3" s="1"/>
  <c r="D184" i="3"/>
  <c r="C184" i="3" s="1"/>
  <c r="D183" i="3"/>
  <c r="C183" i="3"/>
  <c r="D182" i="3"/>
  <c r="C182" i="3" s="1"/>
  <c r="D181" i="3"/>
  <c r="C181" i="3" s="1"/>
  <c r="D180" i="3"/>
  <c r="C180" i="3"/>
  <c r="D179" i="3"/>
  <c r="C179" i="3"/>
  <c r="D178" i="3"/>
  <c r="C178" i="3" s="1"/>
  <c r="D177" i="3"/>
  <c r="C177" i="3" s="1"/>
  <c r="D176" i="3"/>
  <c r="C176" i="3"/>
  <c r="D175" i="3"/>
  <c r="C175" i="3"/>
  <c r="D174" i="3"/>
  <c r="C174" i="3" s="1"/>
  <c r="D173" i="3"/>
  <c r="C173" i="3" s="1"/>
  <c r="D172" i="3"/>
  <c r="C172" i="3" s="1"/>
  <c r="P171" i="3"/>
  <c r="D171" i="3"/>
  <c r="C171" i="3"/>
  <c r="D170" i="3"/>
  <c r="C170" i="3"/>
  <c r="D169" i="3"/>
  <c r="C169" i="3"/>
  <c r="D168" i="3"/>
  <c r="C168" i="3" s="1"/>
  <c r="D167" i="3"/>
  <c r="C167" i="3"/>
  <c r="D166" i="3"/>
  <c r="C166" i="3"/>
  <c r="D165" i="3"/>
  <c r="C165" i="3"/>
  <c r="D164" i="3"/>
  <c r="C164" i="3" s="1"/>
  <c r="D163" i="3"/>
  <c r="C163" i="3"/>
  <c r="D162" i="3"/>
  <c r="C162" i="3"/>
  <c r="D161" i="3"/>
  <c r="C161" i="3"/>
  <c r="D160" i="3"/>
  <c r="C160" i="3" s="1"/>
  <c r="D159" i="3"/>
  <c r="C159" i="3" s="1"/>
  <c r="D158" i="3"/>
  <c r="C158" i="3"/>
  <c r="D157" i="3"/>
  <c r="C157" i="3"/>
  <c r="D156" i="3"/>
  <c r="C156" i="3" s="1"/>
  <c r="D155" i="3"/>
  <c r="C155" i="3" s="1"/>
  <c r="D154" i="3"/>
  <c r="C154" i="3"/>
  <c r="D153" i="3"/>
  <c r="C153" i="3"/>
  <c r="D152" i="3"/>
  <c r="C152" i="3" s="1"/>
  <c r="D151" i="3"/>
  <c r="C151" i="3" s="1"/>
  <c r="D150" i="3"/>
  <c r="C150" i="3"/>
  <c r="D149" i="3"/>
  <c r="C149" i="3"/>
  <c r="D148" i="3"/>
  <c r="C148" i="3" s="1"/>
  <c r="D147" i="3"/>
  <c r="C147" i="3"/>
  <c r="D146" i="3"/>
  <c r="C146" i="3"/>
  <c r="D145" i="3"/>
  <c r="C145" i="3"/>
  <c r="D144" i="3"/>
  <c r="C144" i="3" s="1"/>
  <c r="D143" i="3"/>
  <c r="C143" i="3"/>
  <c r="P142" i="3"/>
  <c r="D142" i="3"/>
  <c r="C142" i="3" s="1"/>
  <c r="D141" i="3"/>
  <c r="C141" i="3" s="1"/>
  <c r="D140" i="3"/>
  <c r="C140" i="3"/>
  <c r="P139" i="3"/>
  <c r="D139" i="3"/>
  <c r="C139" i="3"/>
  <c r="P138" i="3"/>
  <c r="D138" i="3"/>
  <c r="C138" i="3" s="1"/>
  <c r="P137" i="3"/>
  <c r="D137" i="3"/>
  <c r="C137" i="3"/>
  <c r="D136" i="3"/>
  <c r="C136" i="3"/>
  <c r="D135" i="3"/>
  <c r="C135" i="3"/>
  <c r="D134" i="3"/>
  <c r="C134" i="3" s="1"/>
  <c r="D133" i="3"/>
  <c r="C133" i="3"/>
  <c r="P132" i="3"/>
  <c r="D132" i="3"/>
  <c r="C132" i="3" s="1"/>
  <c r="D131" i="3"/>
  <c r="C131" i="3" s="1"/>
  <c r="D130" i="3"/>
  <c r="C130" i="3"/>
  <c r="D129" i="3"/>
  <c r="C129" i="3" s="1"/>
  <c r="D128" i="3"/>
  <c r="C128" i="3" s="1"/>
  <c r="D127" i="3"/>
  <c r="C127" i="3"/>
  <c r="D126" i="3"/>
  <c r="C126" i="3"/>
  <c r="D125" i="3"/>
  <c r="C125" i="3" s="1"/>
  <c r="D124" i="3"/>
  <c r="C124" i="3" s="1"/>
  <c r="D123" i="3"/>
  <c r="C123" i="3"/>
  <c r="D122" i="3"/>
  <c r="C122" i="3"/>
  <c r="D121" i="3"/>
  <c r="C121" i="3" s="1"/>
  <c r="D120" i="3"/>
  <c r="C120" i="3" s="1"/>
  <c r="D119" i="3"/>
  <c r="C119" i="3"/>
  <c r="D118" i="3"/>
  <c r="C118" i="3"/>
  <c r="P117" i="3"/>
  <c r="D117" i="3"/>
  <c r="C117" i="3"/>
  <c r="D116" i="3"/>
  <c r="C116" i="3" s="1"/>
  <c r="P115" i="3"/>
  <c r="D115" i="3"/>
  <c r="C115" i="3"/>
  <c r="D114" i="3"/>
  <c r="C114" i="3"/>
  <c r="D113" i="3"/>
  <c r="C113" i="3" s="1"/>
  <c r="D112" i="3"/>
  <c r="C112" i="3"/>
  <c r="D111" i="3"/>
  <c r="C111" i="3"/>
  <c r="D110" i="3"/>
  <c r="C110" i="3"/>
  <c r="D109" i="3"/>
  <c r="C109" i="3" s="1"/>
  <c r="D108" i="3"/>
  <c r="C108" i="3"/>
  <c r="D107" i="3"/>
  <c r="C107" i="3"/>
  <c r="D106" i="3"/>
  <c r="C106" i="3"/>
  <c r="D105" i="3"/>
  <c r="C105" i="3" s="1"/>
  <c r="D104" i="3"/>
  <c r="C104" i="3"/>
  <c r="P103" i="3"/>
  <c r="D103" i="3"/>
  <c r="C103" i="3"/>
  <c r="D102" i="3"/>
  <c r="C102" i="3"/>
  <c r="D101" i="3"/>
  <c r="C101" i="3" s="1"/>
  <c r="D100" i="3"/>
  <c r="C100" i="3"/>
  <c r="D99" i="3"/>
  <c r="C99" i="3"/>
  <c r="D98" i="3"/>
  <c r="C98" i="3" s="1"/>
  <c r="D97" i="3"/>
  <c r="C97" i="3" s="1"/>
  <c r="D96" i="3"/>
  <c r="C96" i="3"/>
  <c r="D95" i="3"/>
  <c r="C95" i="3"/>
  <c r="D94" i="3"/>
  <c r="C94" i="3"/>
  <c r="D93" i="3"/>
  <c r="C93" i="3" s="1"/>
  <c r="D92" i="3"/>
  <c r="C92" i="3"/>
  <c r="D91" i="3"/>
  <c r="C91" i="3"/>
  <c r="D90" i="3"/>
  <c r="C90" i="3" s="1"/>
  <c r="D89" i="3"/>
  <c r="C89" i="3" s="1"/>
  <c r="D88" i="3"/>
  <c r="C88" i="3"/>
  <c r="D87" i="3"/>
  <c r="C87" i="3"/>
  <c r="D86" i="3"/>
  <c r="C86" i="3"/>
  <c r="D85" i="3"/>
  <c r="C85" i="3" s="1"/>
  <c r="D84" i="3"/>
  <c r="C84" i="3"/>
  <c r="D83" i="3"/>
  <c r="C83" i="3"/>
  <c r="D82" i="3"/>
  <c r="C82" i="3"/>
  <c r="D81" i="3"/>
  <c r="C81" i="3" s="1"/>
  <c r="D80" i="3"/>
  <c r="C80" i="3"/>
  <c r="D79" i="3"/>
  <c r="C79" i="3"/>
  <c r="D78" i="3"/>
  <c r="C78" i="3" s="1"/>
  <c r="D77" i="3"/>
  <c r="C77" i="3" s="1"/>
  <c r="D76" i="3"/>
  <c r="C76" i="3"/>
  <c r="P75" i="3"/>
  <c r="D75" i="3"/>
  <c r="C75" i="3"/>
  <c r="D74" i="3"/>
  <c r="C74" i="3" s="1"/>
  <c r="D73" i="3"/>
  <c r="C73" i="3"/>
  <c r="D72" i="3"/>
  <c r="C72" i="3"/>
  <c r="P71" i="3"/>
  <c r="D71" i="3"/>
  <c r="C71" i="3"/>
  <c r="D70" i="3"/>
  <c r="C70" i="3" s="1"/>
  <c r="D69" i="3"/>
  <c r="C69" i="3"/>
  <c r="D68" i="3"/>
  <c r="C68" i="3"/>
  <c r="D67" i="3"/>
  <c r="C67" i="3" s="1"/>
  <c r="D66" i="3"/>
  <c r="C66" i="3" s="1"/>
  <c r="D65" i="3"/>
  <c r="C65" i="3"/>
  <c r="D64" i="3"/>
  <c r="C64" i="3"/>
  <c r="D63" i="3"/>
  <c r="C63" i="3"/>
  <c r="D62" i="3"/>
  <c r="C62" i="3" s="1"/>
  <c r="D61" i="3"/>
  <c r="C61" i="3"/>
  <c r="P60" i="3"/>
  <c r="P11" i="3" s="1"/>
  <c r="D60" i="3"/>
  <c r="C60" i="3"/>
  <c r="D59" i="3"/>
  <c r="C59" i="3" s="1"/>
  <c r="D58" i="3"/>
  <c r="C58" i="3"/>
  <c r="P57" i="3"/>
  <c r="D57" i="3"/>
  <c r="C57" i="3"/>
  <c r="D56" i="3"/>
  <c r="C56" i="3"/>
  <c r="D55" i="3"/>
  <c r="C55" i="3" s="1"/>
  <c r="D54" i="3"/>
  <c r="C54" i="3"/>
  <c r="D53" i="3"/>
  <c r="C53" i="3"/>
  <c r="D52" i="3"/>
  <c r="C52" i="3"/>
  <c r="D51" i="3"/>
  <c r="C51" i="3" s="1"/>
  <c r="D50" i="3"/>
  <c r="C50" i="3"/>
  <c r="D49" i="3"/>
  <c r="C49" i="3"/>
  <c r="D48" i="3"/>
  <c r="C48" i="3"/>
  <c r="D47" i="3"/>
  <c r="C47" i="3" s="1"/>
  <c r="D46" i="3"/>
  <c r="C46" i="3"/>
  <c r="D45" i="3"/>
  <c r="C45" i="3"/>
  <c r="D44" i="3"/>
  <c r="C44" i="3"/>
  <c r="D43" i="3"/>
  <c r="C43" i="3" s="1"/>
  <c r="D42" i="3"/>
  <c r="C42" i="3"/>
  <c r="D41" i="3"/>
  <c r="C41" i="3"/>
  <c r="D40" i="3"/>
  <c r="C40" i="3"/>
  <c r="P39" i="3"/>
  <c r="C39" i="3" s="1"/>
  <c r="D39" i="3"/>
  <c r="P38" i="3"/>
  <c r="D38" i="3"/>
  <c r="C38" i="3"/>
  <c r="D37" i="3"/>
  <c r="C37" i="3" s="1"/>
  <c r="D36" i="3"/>
  <c r="C36" i="3" s="1"/>
  <c r="D35" i="3"/>
  <c r="C35" i="3"/>
  <c r="D34" i="3"/>
  <c r="C34" i="3"/>
  <c r="D33" i="3"/>
  <c r="C33" i="3"/>
  <c r="P32" i="3"/>
  <c r="C32" i="3" s="1"/>
  <c r="D32" i="3"/>
  <c r="D31" i="3"/>
  <c r="C31" i="3"/>
  <c r="D30" i="3"/>
  <c r="C30" i="3"/>
  <c r="D29" i="3"/>
  <c r="C29" i="3" s="1"/>
  <c r="D28" i="3"/>
  <c r="C28" i="3"/>
  <c r="P27" i="3"/>
  <c r="D27" i="3"/>
  <c r="C27" i="3"/>
  <c r="D26" i="3"/>
  <c r="C26" i="3"/>
  <c r="D25" i="3"/>
  <c r="C25" i="3" s="1"/>
  <c r="D24" i="3"/>
  <c r="C24" i="3"/>
  <c r="D23" i="3"/>
  <c r="C23" i="3"/>
  <c r="D22" i="3"/>
  <c r="C22" i="3"/>
  <c r="D21" i="3"/>
  <c r="C21" i="3" s="1"/>
  <c r="D20" i="3"/>
  <c r="C20" i="3"/>
  <c r="D19" i="3"/>
  <c r="C19" i="3"/>
  <c r="D18" i="3"/>
  <c r="C18" i="3"/>
  <c r="D17" i="3"/>
  <c r="C17" i="3" s="1"/>
  <c r="D16" i="3"/>
  <c r="C16" i="3"/>
  <c r="D15" i="3"/>
  <c r="C15" i="3"/>
  <c r="D14" i="3"/>
  <c r="C14" i="3"/>
  <c r="D13" i="3"/>
  <c r="C13" i="3" s="1"/>
  <c r="D12" i="3"/>
  <c r="C12" i="3"/>
  <c r="T11" i="3"/>
  <c r="S11" i="3"/>
  <c r="S10" i="3" s="1"/>
  <c r="R11" i="3"/>
  <c r="R10" i="3" s="1"/>
  <c r="Q11" i="3"/>
  <c r="Q10" i="3" s="1"/>
  <c r="O11" i="3"/>
  <c r="N11" i="3"/>
  <c r="M11" i="3"/>
  <c r="L11" i="3"/>
  <c r="K11" i="3"/>
  <c r="J11" i="3"/>
  <c r="I11" i="3"/>
  <c r="I10" i="3" s="1"/>
  <c r="H11" i="3"/>
  <c r="H10" i="3" s="1"/>
  <c r="G11" i="3"/>
  <c r="F11" i="3"/>
  <c r="E11" i="3"/>
  <c r="D11" i="3"/>
  <c r="T10" i="3"/>
  <c r="M10" i="3"/>
  <c r="L10" i="3"/>
  <c r="K10" i="3"/>
  <c r="I103" i="2"/>
  <c r="I102" i="2"/>
  <c r="I101" i="2"/>
  <c r="L100" i="2"/>
  <c r="K100" i="2"/>
  <c r="J100" i="2"/>
  <c r="I100" i="2"/>
  <c r="H100" i="2"/>
  <c r="H91" i="2" s="1"/>
  <c r="G100" i="2"/>
  <c r="G91" i="2" s="1"/>
  <c r="F100" i="2"/>
  <c r="F91" i="2" s="1"/>
  <c r="E100" i="2"/>
  <c r="I99" i="2"/>
  <c r="C99" i="2"/>
  <c r="I98" i="2"/>
  <c r="I97" i="2"/>
  <c r="I96" i="2"/>
  <c r="C96" i="2"/>
  <c r="I95" i="2"/>
  <c r="I94" i="2"/>
  <c r="I93" i="2"/>
  <c r="D93" i="2"/>
  <c r="I92" i="2"/>
  <c r="L91" i="2"/>
  <c r="K91" i="2"/>
  <c r="J91" i="2"/>
  <c r="E91" i="2"/>
  <c r="I87" i="2"/>
  <c r="I86" i="2"/>
  <c r="I85" i="2"/>
  <c r="I84" i="2"/>
  <c r="I83" i="2"/>
  <c r="I82" i="2"/>
  <c r="I81" i="2"/>
  <c r="I80" i="2"/>
  <c r="I79" i="2"/>
  <c r="I78" i="2"/>
  <c r="I77" i="2"/>
  <c r="I76" i="2"/>
  <c r="I75" i="2"/>
  <c r="I74" i="2"/>
  <c r="I73" i="2"/>
  <c r="I72" i="2"/>
  <c r="I71" i="2"/>
  <c r="I70" i="2"/>
  <c r="I69" i="2"/>
  <c r="L68" i="2"/>
  <c r="K68" i="2"/>
  <c r="J68" i="2"/>
  <c r="H68" i="2"/>
  <c r="G68" i="2"/>
  <c r="F68" i="2"/>
  <c r="E68" i="2"/>
  <c r="I66" i="2"/>
  <c r="I65" i="2"/>
  <c r="I64" i="2"/>
  <c r="I63" i="2"/>
  <c r="I62" i="2"/>
  <c r="I61" i="2"/>
  <c r="I60" i="2"/>
  <c r="I59" i="2"/>
  <c r="I58" i="2"/>
  <c r="I57" i="2"/>
  <c r="I56" i="2"/>
  <c r="I55" i="2"/>
  <c r="I54" i="2"/>
  <c r="I53" i="2"/>
  <c r="I52" i="2"/>
  <c r="I51" i="2"/>
  <c r="I50" i="2"/>
  <c r="I49" i="2"/>
  <c r="I48" i="2"/>
  <c r="I47" i="2"/>
  <c r="I46" i="2"/>
  <c r="I45" i="2"/>
  <c r="I44" i="2"/>
  <c r="I43" i="2"/>
  <c r="I42" i="2"/>
  <c r="I40" i="2" s="1"/>
  <c r="I41" i="2"/>
  <c r="L40" i="2"/>
  <c r="L38" i="2" s="1"/>
  <c r="K40" i="2"/>
  <c r="J40" i="2"/>
  <c r="J38" i="2" s="1"/>
  <c r="J37" i="2" s="1"/>
  <c r="J36" i="2" s="1"/>
  <c r="J35" i="2" s="1"/>
  <c r="J34" i="2" s="1"/>
  <c r="H40" i="2"/>
  <c r="G40" i="2"/>
  <c r="G38" i="2" s="1"/>
  <c r="G37" i="2" s="1"/>
  <c r="G36" i="2" s="1"/>
  <c r="G35" i="2" s="1"/>
  <c r="G34" i="2" s="1"/>
  <c r="G9" i="2" s="1"/>
  <c r="F40" i="2"/>
  <c r="E40" i="2"/>
  <c r="K38" i="2"/>
  <c r="K37" i="2" s="1"/>
  <c r="K36" i="2" s="1"/>
  <c r="K35" i="2" s="1"/>
  <c r="K34" i="2" s="1"/>
  <c r="K9" i="2" s="1"/>
  <c r="I38" i="2"/>
  <c r="F38" i="2"/>
  <c r="F37" i="2" s="1"/>
  <c r="E38" i="2"/>
  <c r="E37" i="2" s="1"/>
  <c r="E36" i="2" s="1"/>
  <c r="E35" i="2" s="1"/>
  <c r="E34" i="2" s="1"/>
  <c r="E9" i="2" s="1"/>
  <c r="L37" i="2"/>
  <c r="L36" i="2" s="1"/>
  <c r="I37" i="2"/>
  <c r="I36" i="2"/>
  <c r="F36" i="2"/>
  <c r="L35" i="2"/>
  <c r="L34" i="2" s="1"/>
  <c r="L9" i="2" s="1"/>
  <c r="I35" i="2"/>
  <c r="F35" i="2"/>
  <c r="H34" i="2"/>
  <c r="F34" i="2"/>
  <c r="I33" i="2"/>
  <c r="I32" i="2"/>
  <c r="I31" i="2"/>
  <c r="I30" i="2"/>
  <c r="I29" i="2"/>
  <c r="I28" i="2"/>
  <c r="I27" i="2"/>
  <c r="I26" i="2"/>
  <c r="I25" i="2"/>
  <c r="I24" i="2"/>
  <c r="I23" i="2"/>
  <c r="I22" i="2"/>
  <c r="I21" i="2"/>
  <c r="I20" i="2"/>
  <c r="I19" i="2"/>
  <c r="I18" i="2"/>
  <c r="I17" i="2"/>
  <c r="I16" i="2"/>
  <c r="I15" i="2"/>
  <c r="I14" i="2"/>
  <c r="I13" i="2"/>
  <c r="I12" i="2"/>
  <c r="I11" i="2"/>
  <c r="I10" i="2"/>
  <c r="J9" i="2"/>
  <c r="H9" i="2"/>
  <c r="F9" i="2"/>
  <c r="R1041" i="1"/>
  <c r="R1040" i="1" s="1"/>
  <c r="Q1041" i="1"/>
  <c r="M1041" i="1"/>
  <c r="M1040" i="1" s="1"/>
  <c r="M103" i="2" s="1"/>
  <c r="N103" i="2" s="1"/>
  <c r="S1040" i="1"/>
  <c r="Q1040" i="1"/>
  <c r="P1040" i="1"/>
  <c r="O1040" i="1"/>
  <c r="N1040" i="1"/>
  <c r="L1040" i="1"/>
  <c r="D103" i="2" s="1"/>
  <c r="K1040" i="1"/>
  <c r="J1040" i="1"/>
  <c r="I1040" i="1"/>
  <c r="C103" i="2" s="1"/>
  <c r="Q1039" i="1"/>
  <c r="R1039" i="1" s="1"/>
  <c r="M1039" i="1"/>
  <c r="Q1038" i="1"/>
  <c r="R1038" i="1" s="1"/>
  <c r="S1037" i="1"/>
  <c r="P1037" i="1"/>
  <c r="O1037" i="1"/>
  <c r="N1037" i="1"/>
  <c r="L1037" i="1"/>
  <c r="D102" i="2" s="1"/>
  <c r="K1037" i="1"/>
  <c r="J1037" i="1"/>
  <c r="I1037" i="1"/>
  <c r="C102" i="2" s="1"/>
  <c r="Q1034" i="1"/>
  <c r="R1034" i="1" s="1"/>
  <c r="M1034" i="1"/>
  <c r="S1033" i="1"/>
  <c r="S1032" i="1" s="1"/>
  <c r="P1033" i="1"/>
  <c r="O1033" i="1"/>
  <c r="N1033" i="1"/>
  <c r="L1033" i="1"/>
  <c r="D101" i="2" s="1"/>
  <c r="D100" i="2" s="1"/>
  <c r="K1033" i="1"/>
  <c r="K1032" i="1" s="1"/>
  <c r="J1033" i="1"/>
  <c r="I1033" i="1"/>
  <c r="C101" i="2" s="1"/>
  <c r="C100" i="2" s="1"/>
  <c r="P1032" i="1"/>
  <c r="O1032" i="1"/>
  <c r="N1032" i="1"/>
  <c r="L1032" i="1"/>
  <c r="J1032" i="1"/>
  <c r="Q1031" i="1"/>
  <c r="R1031" i="1" s="1"/>
  <c r="M1031" i="1"/>
  <c r="Q1030" i="1"/>
  <c r="R1030" i="1" s="1"/>
  <c r="R1029" i="1" s="1"/>
  <c r="S1029" i="1"/>
  <c r="P1029" i="1"/>
  <c r="O1029" i="1"/>
  <c r="O961" i="1" s="1"/>
  <c r="N1029" i="1"/>
  <c r="L1029" i="1"/>
  <c r="D99" i="2" s="1"/>
  <c r="K1029" i="1"/>
  <c r="J1029" i="1"/>
  <c r="I1029" i="1"/>
  <c r="Q1028" i="1"/>
  <c r="R1027" i="1"/>
  <c r="Q1027" i="1"/>
  <c r="M1027" i="1" s="1"/>
  <c r="Q1026" i="1"/>
  <c r="R1026" i="1" s="1"/>
  <c r="M1026" i="1"/>
  <c r="R1025" i="1"/>
  <c r="Q1025" i="1"/>
  <c r="M1025" i="1"/>
  <c r="S1024" i="1"/>
  <c r="P1024" i="1"/>
  <c r="O1024" i="1"/>
  <c r="N1024" i="1"/>
  <c r="L1024" i="1"/>
  <c r="D98" i="2" s="1"/>
  <c r="K1024" i="1"/>
  <c r="J1024" i="1"/>
  <c r="I1024" i="1"/>
  <c r="C98" i="2" s="1"/>
  <c r="Q1023" i="1"/>
  <c r="R1023" i="1" s="1"/>
  <c r="M1023" i="1"/>
  <c r="Q1022" i="1"/>
  <c r="R1022" i="1" s="1"/>
  <c r="Q1021" i="1"/>
  <c r="R1021" i="1" s="1"/>
  <c r="M1021" i="1"/>
  <c r="Q1020" i="1"/>
  <c r="K1020" i="1"/>
  <c r="R1019" i="1"/>
  <c r="Q1019" i="1"/>
  <c r="M1019" i="1"/>
  <c r="Q1018" i="1"/>
  <c r="R1018" i="1" s="1"/>
  <c r="M1018" i="1"/>
  <c r="Q1017" i="1"/>
  <c r="R1017" i="1" s="1"/>
  <c r="K1017" i="1"/>
  <c r="Q1016" i="1"/>
  <c r="R1016" i="1" s="1"/>
  <c r="M1016" i="1"/>
  <c r="K1016" i="1"/>
  <c r="Q1015" i="1"/>
  <c r="R1015" i="1" s="1"/>
  <c r="K1015" i="1"/>
  <c r="Q1014" i="1"/>
  <c r="R1014" i="1" s="1"/>
  <c r="M1014" i="1"/>
  <c r="K1014" i="1"/>
  <c r="Q1013" i="1"/>
  <c r="R1013" i="1" s="1"/>
  <c r="K1013" i="1"/>
  <c r="K1012" i="1"/>
  <c r="Q1011" i="1"/>
  <c r="R1011" i="1" s="1"/>
  <c r="Q1010" i="1"/>
  <c r="R1010" i="1" s="1"/>
  <c r="M1010" i="1"/>
  <c r="K1010" i="1"/>
  <c r="S1009" i="1"/>
  <c r="P1009" i="1"/>
  <c r="O1009" i="1"/>
  <c r="N1009" i="1"/>
  <c r="L1009" i="1"/>
  <c r="D97" i="2" s="1"/>
  <c r="K1009" i="1"/>
  <c r="K961" i="1" s="1"/>
  <c r="J1009" i="1"/>
  <c r="I1009" i="1"/>
  <c r="C97" i="2" s="1"/>
  <c r="R1008" i="1"/>
  <c r="Q1008" i="1"/>
  <c r="M1008" i="1"/>
  <c r="Q1007" i="1"/>
  <c r="Q1006" i="1" s="1"/>
  <c r="M1007" i="1"/>
  <c r="M1006" i="1" s="1"/>
  <c r="M96" i="2" s="1"/>
  <c r="N96" i="2" s="1"/>
  <c r="S1006" i="1"/>
  <c r="P1006" i="1"/>
  <c r="O1006" i="1"/>
  <c r="N1006" i="1"/>
  <c r="L1006" i="1"/>
  <c r="K1006" i="1"/>
  <c r="J1006" i="1"/>
  <c r="I1006" i="1"/>
  <c r="Q1005" i="1"/>
  <c r="Q1004" i="1" s="1"/>
  <c r="M1005" i="1"/>
  <c r="M1004" i="1" s="1"/>
  <c r="M95" i="2" s="1"/>
  <c r="N95" i="2" s="1"/>
  <c r="S1004" i="1"/>
  <c r="P1004" i="1"/>
  <c r="O1004" i="1"/>
  <c r="N1004" i="1"/>
  <c r="L1004" i="1"/>
  <c r="D95" i="2" s="1"/>
  <c r="K1004" i="1"/>
  <c r="J1004" i="1"/>
  <c r="I1004" i="1"/>
  <c r="C95" i="2" s="1"/>
  <c r="R1003" i="1"/>
  <c r="R1002" i="1" s="1"/>
  <c r="Q1003" i="1"/>
  <c r="M1003" i="1" s="1"/>
  <c r="M1002" i="1" s="1"/>
  <c r="M94" i="2" s="1"/>
  <c r="N94" i="2" s="1"/>
  <c r="S1002" i="1"/>
  <c r="Q1002" i="1"/>
  <c r="P1002" i="1"/>
  <c r="O1002" i="1"/>
  <c r="N1002" i="1"/>
  <c r="L1002" i="1"/>
  <c r="D94" i="2" s="1"/>
  <c r="K1002" i="1"/>
  <c r="J1002" i="1"/>
  <c r="I1002" i="1"/>
  <c r="C94" i="2" s="1"/>
  <c r="R1001" i="1"/>
  <c r="R1000" i="1" s="1"/>
  <c r="Q1001" i="1"/>
  <c r="M1001" i="1"/>
  <c r="M1000" i="1" s="1"/>
  <c r="M93" i="2" s="1"/>
  <c r="N93" i="2" s="1"/>
  <c r="S1000" i="1"/>
  <c r="Q1000" i="1"/>
  <c r="P1000" i="1"/>
  <c r="O1000" i="1"/>
  <c r="N1000" i="1"/>
  <c r="L1000" i="1"/>
  <c r="K1000" i="1"/>
  <c r="J1000" i="1"/>
  <c r="I1000" i="1"/>
  <c r="C93" i="2" s="1"/>
  <c r="Q999" i="1"/>
  <c r="R999" i="1" s="1"/>
  <c r="M999" i="1"/>
  <c r="Q998" i="1"/>
  <c r="R998" i="1" s="1"/>
  <c r="Q997" i="1"/>
  <c r="R997" i="1" s="1"/>
  <c r="M997" i="1"/>
  <c r="Q996" i="1"/>
  <c r="R995" i="1"/>
  <c r="Q995" i="1"/>
  <c r="M995" i="1" s="1"/>
  <c r="Q994" i="1"/>
  <c r="R994" i="1" s="1"/>
  <c r="M994" i="1"/>
  <c r="R993" i="1"/>
  <c r="Q993" i="1"/>
  <c r="M993" i="1"/>
  <c r="R992" i="1"/>
  <c r="Q992" i="1"/>
  <c r="M992" i="1"/>
  <c r="Q991" i="1"/>
  <c r="R991" i="1" s="1"/>
  <c r="M991" i="1"/>
  <c r="Q990" i="1"/>
  <c r="R990" i="1" s="1"/>
  <c r="Q989" i="1"/>
  <c r="R989" i="1" s="1"/>
  <c r="M989" i="1"/>
  <c r="Q988" i="1"/>
  <c r="R987" i="1"/>
  <c r="Q987" i="1"/>
  <c r="M987" i="1" s="1"/>
  <c r="Q986" i="1"/>
  <c r="R986" i="1" s="1"/>
  <c r="M986" i="1"/>
  <c r="R985" i="1"/>
  <c r="Q985" i="1"/>
  <c r="M985" i="1"/>
  <c r="R984" i="1"/>
  <c r="Q984" i="1"/>
  <c r="M984" i="1"/>
  <c r="Q983" i="1"/>
  <c r="R983" i="1" s="1"/>
  <c r="M983" i="1"/>
  <c r="Q982" i="1"/>
  <c r="R982" i="1" s="1"/>
  <c r="Q981" i="1"/>
  <c r="R981" i="1" s="1"/>
  <c r="M981" i="1"/>
  <c r="Q980" i="1"/>
  <c r="R979" i="1"/>
  <c r="Q979" i="1"/>
  <c r="M979" i="1" s="1"/>
  <c r="Q978" i="1"/>
  <c r="R978" i="1" s="1"/>
  <c r="M978" i="1"/>
  <c r="R977" i="1"/>
  <c r="Q977" i="1"/>
  <c r="M977" i="1"/>
  <c r="R976" i="1"/>
  <c r="Q976" i="1"/>
  <c r="M976" i="1"/>
  <c r="Q975" i="1"/>
  <c r="R975" i="1" s="1"/>
  <c r="M975" i="1"/>
  <c r="Q973" i="1"/>
  <c r="R973" i="1" s="1"/>
  <c r="M973" i="1"/>
  <c r="Q972" i="1"/>
  <c r="R971" i="1"/>
  <c r="Q971" i="1"/>
  <c r="M971" i="1" s="1"/>
  <c r="Q970" i="1"/>
  <c r="R970" i="1" s="1"/>
  <c r="M970" i="1"/>
  <c r="R969" i="1"/>
  <c r="Q969" i="1"/>
  <c r="M969" i="1"/>
  <c r="R968" i="1"/>
  <c r="Q968" i="1"/>
  <c r="M968" i="1"/>
  <c r="Q967" i="1"/>
  <c r="R967" i="1" s="1"/>
  <c r="M967" i="1"/>
  <c r="Q966" i="1"/>
  <c r="R966" i="1" s="1"/>
  <c r="Q965" i="1"/>
  <c r="R965" i="1" s="1"/>
  <c r="M965" i="1"/>
  <c r="Q964" i="1"/>
  <c r="R963" i="1"/>
  <c r="Q963" i="1"/>
  <c r="M963" i="1" s="1"/>
  <c r="S962" i="1"/>
  <c r="P962" i="1"/>
  <c r="P961" i="1" s="1"/>
  <c r="O962" i="1"/>
  <c r="N962" i="1"/>
  <c r="L962" i="1"/>
  <c r="D92" i="2" s="1"/>
  <c r="K962" i="1"/>
  <c r="J962" i="1"/>
  <c r="I962" i="1"/>
  <c r="C92" i="2" s="1"/>
  <c r="C91" i="2" s="1"/>
  <c r="S961" i="1"/>
  <c r="Q956" i="1"/>
  <c r="R956" i="1" s="1"/>
  <c r="M956" i="1"/>
  <c r="T956" i="1" s="1"/>
  <c r="U956" i="1" s="1"/>
  <c r="K956" i="1"/>
  <c r="T955" i="1"/>
  <c r="U955" i="1" s="1"/>
  <c r="Q955" i="1"/>
  <c r="R955" i="1" s="1"/>
  <c r="M955" i="1"/>
  <c r="Q953" i="1"/>
  <c r="R953" i="1" s="1"/>
  <c r="M953" i="1"/>
  <c r="T953" i="1" s="1"/>
  <c r="U953" i="1" s="1"/>
  <c r="R952" i="1"/>
  <c r="Q952" i="1"/>
  <c r="M952" i="1"/>
  <c r="T952" i="1" s="1"/>
  <c r="U952" i="1" s="1"/>
  <c r="K952" i="1"/>
  <c r="R951" i="1"/>
  <c r="Q951" i="1"/>
  <c r="M951" i="1"/>
  <c r="T951" i="1" s="1"/>
  <c r="U951" i="1" s="1"/>
  <c r="R950" i="1"/>
  <c r="Q950" i="1"/>
  <c r="M950" i="1"/>
  <c r="T950" i="1" s="1"/>
  <c r="U950" i="1" s="1"/>
  <c r="S949" i="1"/>
  <c r="P949" i="1"/>
  <c r="O949" i="1"/>
  <c r="N949" i="1"/>
  <c r="L949" i="1"/>
  <c r="D87" i="2" s="1"/>
  <c r="K949" i="1"/>
  <c r="J949" i="1"/>
  <c r="I949" i="1"/>
  <c r="C87" i="2" s="1"/>
  <c r="Q948" i="1"/>
  <c r="R948" i="1" s="1"/>
  <c r="M948" i="1"/>
  <c r="T948" i="1" s="1"/>
  <c r="U948" i="1" s="1"/>
  <c r="U947" i="1"/>
  <c r="R947" i="1"/>
  <c r="Q947" i="1"/>
  <c r="M947" i="1"/>
  <c r="T947" i="1" s="1"/>
  <c r="Q946" i="1"/>
  <c r="Q945" i="1"/>
  <c r="R945" i="1" s="1"/>
  <c r="Q944" i="1"/>
  <c r="Q943" i="1"/>
  <c r="R943" i="1" s="1"/>
  <c r="M943" i="1"/>
  <c r="T943" i="1" s="1"/>
  <c r="U943" i="1" s="1"/>
  <c r="T942" i="1"/>
  <c r="U942" i="1" s="1"/>
  <c r="Q942" i="1"/>
  <c r="R942" i="1" s="1"/>
  <c r="M942" i="1"/>
  <c r="R941" i="1"/>
  <c r="Q941" i="1"/>
  <c r="M941" i="1"/>
  <c r="T941" i="1" s="1"/>
  <c r="U941" i="1" s="1"/>
  <c r="Q940" i="1"/>
  <c r="R940" i="1" s="1"/>
  <c r="M940" i="1"/>
  <c r="T940" i="1" s="1"/>
  <c r="U940" i="1" s="1"/>
  <c r="R939" i="1"/>
  <c r="Q939" i="1"/>
  <c r="M939" i="1"/>
  <c r="Q938" i="1"/>
  <c r="R938" i="1" s="1"/>
  <c r="M938" i="1"/>
  <c r="T938" i="1" s="1"/>
  <c r="U938" i="1" s="1"/>
  <c r="U937" i="1"/>
  <c r="R937" i="1"/>
  <c r="Q937" i="1"/>
  <c r="M937" i="1"/>
  <c r="T937" i="1" s="1"/>
  <c r="Q936" i="1"/>
  <c r="S934" i="1"/>
  <c r="P934" i="1"/>
  <c r="O934" i="1"/>
  <c r="N934" i="1"/>
  <c r="L934" i="1"/>
  <c r="D86" i="2" s="1"/>
  <c r="K934" i="1"/>
  <c r="J934" i="1"/>
  <c r="I934" i="1"/>
  <c r="C86" i="2" s="1"/>
  <c r="U933" i="1"/>
  <c r="Q933" i="1"/>
  <c r="R933" i="1" s="1"/>
  <c r="M933" i="1"/>
  <c r="T933" i="1" s="1"/>
  <c r="Q932" i="1"/>
  <c r="S931" i="1"/>
  <c r="P931" i="1"/>
  <c r="O931" i="1"/>
  <c r="N931" i="1"/>
  <c r="L931" i="1"/>
  <c r="D85" i="2" s="1"/>
  <c r="K931" i="1"/>
  <c r="J931" i="1"/>
  <c r="I931" i="1"/>
  <c r="C85" i="2" s="1"/>
  <c r="Q930" i="1"/>
  <c r="Q929" i="1"/>
  <c r="R929" i="1" s="1"/>
  <c r="T928" i="1"/>
  <c r="U928" i="1" s="1"/>
  <c r="Q928" i="1"/>
  <c r="R928" i="1" s="1"/>
  <c r="M928" i="1"/>
  <c r="R927" i="1"/>
  <c r="Q927" i="1"/>
  <c r="M927" i="1"/>
  <c r="T927" i="1" s="1"/>
  <c r="U927" i="1" s="1"/>
  <c r="S925" i="1"/>
  <c r="P925" i="1"/>
  <c r="O925" i="1"/>
  <c r="N925" i="1"/>
  <c r="L925" i="1"/>
  <c r="D84" i="2" s="1"/>
  <c r="K925" i="1"/>
  <c r="J925" i="1"/>
  <c r="I925" i="1"/>
  <c r="C84" i="2" s="1"/>
  <c r="Q924" i="1"/>
  <c r="R924" i="1" s="1"/>
  <c r="M924" i="1"/>
  <c r="R923" i="1"/>
  <c r="R922" i="1" s="1"/>
  <c r="Q923" i="1"/>
  <c r="M923" i="1"/>
  <c r="T923" i="1" s="1"/>
  <c r="U923" i="1" s="1"/>
  <c r="S922" i="1"/>
  <c r="Q922" i="1"/>
  <c r="P922" i="1"/>
  <c r="O922" i="1"/>
  <c r="N922" i="1"/>
  <c r="L922" i="1"/>
  <c r="D83" i="2" s="1"/>
  <c r="K922" i="1"/>
  <c r="J922" i="1"/>
  <c r="I922" i="1"/>
  <c r="C83" i="2" s="1"/>
  <c r="U921" i="1"/>
  <c r="R921" i="1"/>
  <c r="Q921" i="1"/>
  <c r="M921" i="1" s="1"/>
  <c r="T921" i="1" s="1"/>
  <c r="Q920" i="1"/>
  <c r="M920" i="1" s="1"/>
  <c r="T920" i="1" s="1"/>
  <c r="U920" i="1" s="1"/>
  <c r="S918" i="1"/>
  <c r="P918" i="1"/>
  <c r="O918" i="1"/>
  <c r="N918" i="1"/>
  <c r="L918" i="1"/>
  <c r="D82" i="2" s="1"/>
  <c r="K918" i="1"/>
  <c r="J918" i="1"/>
  <c r="I918" i="1"/>
  <c r="C82" i="2" s="1"/>
  <c r="U917" i="1"/>
  <c r="Q917" i="1"/>
  <c r="R917" i="1" s="1"/>
  <c r="M917" i="1"/>
  <c r="T917" i="1" s="1"/>
  <c r="Q916" i="1"/>
  <c r="R914" i="1"/>
  <c r="Q914" i="1"/>
  <c r="M914" i="1"/>
  <c r="T914" i="1" s="1"/>
  <c r="U914" i="1" s="1"/>
  <c r="S913" i="1"/>
  <c r="P913" i="1"/>
  <c r="O913" i="1"/>
  <c r="N913" i="1"/>
  <c r="L913" i="1"/>
  <c r="D81" i="2" s="1"/>
  <c r="K913" i="1"/>
  <c r="J913" i="1"/>
  <c r="I913" i="1"/>
  <c r="C81" i="2" s="1"/>
  <c r="R911" i="1"/>
  <c r="Q911" i="1"/>
  <c r="M911" i="1"/>
  <c r="T911" i="1" s="1"/>
  <c r="U911" i="1" s="1"/>
  <c r="S910" i="1"/>
  <c r="P910" i="1"/>
  <c r="O910" i="1"/>
  <c r="N910" i="1"/>
  <c r="L910" i="1"/>
  <c r="D80" i="2" s="1"/>
  <c r="K910" i="1"/>
  <c r="J910" i="1"/>
  <c r="I910" i="1"/>
  <c r="C80" i="2" s="1"/>
  <c r="R909" i="1"/>
  <c r="Q909" i="1"/>
  <c r="M909" i="1"/>
  <c r="T909" i="1" s="1"/>
  <c r="U909" i="1" s="1"/>
  <c r="R908" i="1"/>
  <c r="Q908" i="1"/>
  <c r="M908" i="1"/>
  <c r="T908" i="1" s="1"/>
  <c r="U908" i="1" s="1"/>
  <c r="R907" i="1"/>
  <c r="R906" i="1" s="1"/>
  <c r="Q907" i="1"/>
  <c r="M907" i="1" s="1"/>
  <c r="S906" i="1"/>
  <c r="P906" i="1"/>
  <c r="O906" i="1"/>
  <c r="N906" i="1"/>
  <c r="L906" i="1"/>
  <c r="D79" i="2" s="1"/>
  <c r="K906" i="1"/>
  <c r="J906" i="1"/>
  <c r="I906" i="1"/>
  <c r="C79" i="2" s="1"/>
  <c r="Q905" i="1"/>
  <c r="R905" i="1" s="1"/>
  <c r="R904" i="1"/>
  <c r="Q904" i="1"/>
  <c r="M904" i="1" s="1"/>
  <c r="T904" i="1" s="1"/>
  <c r="U904" i="1" s="1"/>
  <c r="R903" i="1"/>
  <c r="Q903" i="1"/>
  <c r="M903" i="1" s="1"/>
  <c r="T903" i="1" s="1"/>
  <c r="U903" i="1" s="1"/>
  <c r="S901" i="1"/>
  <c r="P901" i="1"/>
  <c r="O901" i="1"/>
  <c r="N901" i="1"/>
  <c r="L901" i="1"/>
  <c r="D78" i="2" s="1"/>
  <c r="K901" i="1"/>
  <c r="J901" i="1"/>
  <c r="I901" i="1"/>
  <c r="C78" i="2" s="1"/>
  <c r="Q900" i="1"/>
  <c r="R900" i="1" s="1"/>
  <c r="R899" i="1"/>
  <c r="Q899" i="1"/>
  <c r="M899" i="1" s="1"/>
  <c r="T899" i="1" s="1"/>
  <c r="U899" i="1" s="1"/>
  <c r="R898" i="1"/>
  <c r="Q898" i="1"/>
  <c r="M898" i="1"/>
  <c r="T898" i="1" s="1"/>
  <c r="U898" i="1" s="1"/>
  <c r="T897" i="1"/>
  <c r="U897" i="1" s="1"/>
  <c r="R897" i="1"/>
  <c r="Q897" i="1"/>
  <c r="M897" i="1"/>
  <c r="R896" i="1"/>
  <c r="Q896" i="1"/>
  <c r="M896" i="1"/>
  <c r="T896" i="1" s="1"/>
  <c r="U896" i="1" s="1"/>
  <c r="U895" i="1"/>
  <c r="R895" i="1"/>
  <c r="R894" i="1" s="1"/>
  <c r="Q895" i="1"/>
  <c r="M895" i="1"/>
  <c r="T895" i="1" s="1"/>
  <c r="S894" i="1"/>
  <c r="S887" i="1" s="1"/>
  <c r="S886" i="1" s="1"/>
  <c r="P894" i="1"/>
  <c r="O894" i="1"/>
  <c r="N894" i="1"/>
  <c r="L894" i="1"/>
  <c r="D77" i="2" s="1"/>
  <c r="K894" i="1"/>
  <c r="J894" i="1"/>
  <c r="I894" i="1"/>
  <c r="C77" i="2" s="1"/>
  <c r="R893" i="1"/>
  <c r="Q893" i="1"/>
  <c r="M893" i="1" s="1"/>
  <c r="T893" i="1" s="1"/>
  <c r="U893" i="1" s="1"/>
  <c r="R892" i="1"/>
  <c r="Q892" i="1"/>
  <c r="M892" i="1" s="1"/>
  <c r="T892" i="1" s="1"/>
  <c r="U892" i="1" s="1"/>
  <c r="U891" i="1"/>
  <c r="T891" i="1"/>
  <c r="R891" i="1"/>
  <c r="Q891" i="1"/>
  <c r="M891" i="1"/>
  <c r="Q890" i="1"/>
  <c r="R890" i="1" s="1"/>
  <c r="M890" i="1"/>
  <c r="T890" i="1" s="1"/>
  <c r="U890" i="1" s="1"/>
  <c r="Q889" i="1"/>
  <c r="R889" i="1" s="1"/>
  <c r="R888" i="1" s="1"/>
  <c r="S888" i="1"/>
  <c r="Q888" i="1"/>
  <c r="P888" i="1"/>
  <c r="P887" i="1" s="1"/>
  <c r="P886" i="1" s="1"/>
  <c r="P823" i="1" s="1"/>
  <c r="O888" i="1"/>
  <c r="O887" i="1" s="1"/>
  <c r="O886" i="1" s="1"/>
  <c r="N888" i="1"/>
  <c r="L888" i="1"/>
  <c r="D76" i="2" s="1"/>
  <c r="K888" i="1"/>
  <c r="J888" i="1"/>
  <c r="I888" i="1"/>
  <c r="C76" i="2" s="1"/>
  <c r="R887" i="1"/>
  <c r="R886" i="1" s="1"/>
  <c r="Q887" i="1"/>
  <c r="N887" i="1"/>
  <c r="N886" i="1" s="1"/>
  <c r="Q886" i="1"/>
  <c r="L886" i="1"/>
  <c r="D75" i="2" s="1"/>
  <c r="K886" i="1"/>
  <c r="J886" i="1"/>
  <c r="I886" i="1"/>
  <c r="C75" i="2" s="1"/>
  <c r="Q885" i="1"/>
  <c r="R885" i="1" s="1"/>
  <c r="R884" i="1"/>
  <c r="Q884" i="1"/>
  <c r="M884" i="1"/>
  <c r="T884" i="1" s="1"/>
  <c r="U884" i="1" s="1"/>
  <c r="R883" i="1"/>
  <c r="Q883" i="1"/>
  <c r="M883" i="1" s="1"/>
  <c r="T883" i="1" s="1"/>
  <c r="U883" i="1" s="1"/>
  <c r="Q882" i="1"/>
  <c r="R882" i="1" s="1"/>
  <c r="M882" i="1"/>
  <c r="T882" i="1" s="1"/>
  <c r="U882" i="1" s="1"/>
  <c r="R880" i="1"/>
  <c r="Q880" i="1"/>
  <c r="M880" i="1" s="1"/>
  <c r="T880" i="1" s="1"/>
  <c r="U880" i="1" s="1"/>
  <c r="Q879" i="1"/>
  <c r="R879" i="1" s="1"/>
  <c r="M879" i="1"/>
  <c r="T879" i="1" s="1"/>
  <c r="U879" i="1" s="1"/>
  <c r="U878" i="1"/>
  <c r="T878" i="1"/>
  <c r="R878" i="1"/>
  <c r="Q878" i="1"/>
  <c r="M878" i="1"/>
  <c r="S877" i="1"/>
  <c r="P877" i="1"/>
  <c r="O877" i="1"/>
  <c r="N877" i="1"/>
  <c r="L877" i="1"/>
  <c r="D74" i="2" s="1"/>
  <c r="K877" i="1"/>
  <c r="J877" i="1"/>
  <c r="I877" i="1"/>
  <c r="C74" i="2" s="1"/>
  <c r="S875" i="1"/>
  <c r="P875" i="1"/>
  <c r="O875" i="1"/>
  <c r="N875" i="1"/>
  <c r="L875" i="1"/>
  <c r="D73" i="2" s="1"/>
  <c r="K875" i="1"/>
  <c r="J875" i="1"/>
  <c r="I875" i="1"/>
  <c r="C73" i="2" s="1"/>
  <c r="U874" i="1"/>
  <c r="T874" i="1"/>
  <c r="R874" i="1"/>
  <c r="Q874" i="1"/>
  <c r="M874" i="1"/>
  <c r="Q873" i="1"/>
  <c r="R873" i="1" s="1"/>
  <c r="R872" i="1"/>
  <c r="Q872" i="1"/>
  <c r="M872" i="1"/>
  <c r="T872" i="1" s="1"/>
  <c r="U872" i="1" s="1"/>
  <c r="R871" i="1"/>
  <c r="Q871" i="1"/>
  <c r="M871" i="1" s="1"/>
  <c r="T871" i="1" s="1"/>
  <c r="U871" i="1" s="1"/>
  <c r="Q870" i="1"/>
  <c r="R870" i="1" s="1"/>
  <c r="M870" i="1"/>
  <c r="T870" i="1" s="1"/>
  <c r="U870" i="1" s="1"/>
  <c r="Q869" i="1"/>
  <c r="R869" i="1" s="1"/>
  <c r="R868" i="1"/>
  <c r="Q868" i="1"/>
  <c r="M868" i="1" s="1"/>
  <c r="T868" i="1" s="1"/>
  <c r="U868" i="1" s="1"/>
  <c r="Q867" i="1"/>
  <c r="R867" i="1" s="1"/>
  <c r="M867" i="1"/>
  <c r="T867" i="1" s="1"/>
  <c r="U867" i="1" s="1"/>
  <c r="U866" i="1"/>
  <c r="T866" i="1"/>
  <c r="R866" i="1"/>
  <c r="Q866" i="1"/>
  <c r="M866" i="1"/>
  <c r="Q865" i="1"/>
  <c r="R865" i="1" s="1"/>
  <c r="R864" i="1"/>
  <c r="Q864" i="1"/>
  <c r="M864" i="1"/>
  <c r="T864" i="1" s="1"/>
  <c r="U864" i="1" s="1"/>
  <c r="R863" i="1"/>
  <c r="Q863" i="1"/>
  <c r="M863" i="1" s="1"/>
  <c r="T863" i="1" s="1"/>
  <c r="U863" i="1" s="1"/>
  <c r="Q862" i="1"/>
  <c r="R862" i="1" s="1"/>
  <c r="M862" i="1"/>
  <c r="T862" i="1" s="1"/>
  <c r="U862" i="1" s="1"/>
  <c r="Q861" i="1"/>
  <c r="R861" i="1" s="1"/>
  <c r="R860" i="1"/>
  <c r="Q860" i="1"/>
  <c r="M860" i="1" s="1"/>
  <c r="T860" i="1" s="1"/>
  <c r="U860" i="1" s="1"/>
  <c r="S858" i="1"/>
  <c r="P858" i="1"/>
  <c r="O858" i="1"/>
  <c r="N858" i="1"/>
  <c r="L858" i="1"/>
  <c r="D72" i="2" s="1"/>
  <c r="K858" i="1"/>
  <c r="J858" i="1"/>
  <c r="I858" i="1"/>
  <c r="C72" i="2" s="1"/>
  <c r="Q857" i="1"/>
  <c r="R857" i="1" s="1"/>
  <c r="R856" i="1" s="1"/>
  <c r="M857" i="1"/>
  <c r="T857" i="1" s="1"/>
  <c r="U857" i="1" s="1"/>
  <c r="S856" i="1"/>
  <c r="Q856" i="1"/>
  <c r="P856" i="1"/>
  <c r="O856" i="1"/>
  <c r="N856" i="1"/>
  <c r="L856" i="1"/>
  <c r="D71" i="2" s="1"/>
  <c r="K856" i="1"/>
  <c r="J856" i="1"/>
  <c r="I856" i="1"/>
  <c r="C71" i="2" s="1"/>
  <c r="Q855" i="1"/>
  <c r="R855" i="1" s="1"/>
  <c r="R854" i="1" s="1"/>
  <c r="M855" i="1"/>
  <c r="T855" i="1" s="1"/>
  <c r="U855" i="1" s="1"/>
  <c r="S854" i="1"/>
  <c r="Q854" i="1"/>
  <c r="P854" i="1"/>
  <c r="O854" i="1"/>
  <c r="N854" i="1"/>
  <c r="L854" i="1"/>
  <c r="D70" i="2" s="1"/>
  <c r="K854" i="1"/>
  <c r="K823" i="1" s="1"/>
  <c r="J854" i="1"/>
  <c r="I854" i="1"/>
  <c r="C70" i="2" s="1"/>
  <c r="Q853" i="1"/>
  <c r="R853" i="1" s="1"/>
  <c r="M853" i="1"/>
  <c r="T853" i="1" s="1"/>
  <c r="U853" i="1" s="1"/>
  <c r="U852" i="1"/>
  <c r="T852" i="1"/>
  <c r="R852" i="1"/>
  <c r="Q852" i="1"/>
  <c r="M852" i="1"/>
  <c r="Q851" i="1"/>
  <c r="R851" i="1" s="1"/>
  <c r="R850" i="1"/>
  <c r="Q850" i="1"/>
  <c r="M850" i="1"/>
  <c r="T850" i="1" s="1"/>
  <c r="U850" i="1" s="1"/>
  <c r="R849" i="1"/>
  <c r="Q849" i="1"/>
  <c r="M849" i="1" s="1"/>
  <c r="T849" i="1" s="1"/>
  <c r="U849" i="1" s="1"/>
  <c r="Q848" i="1"/>
  <c r="R848" i="1" s="1"/>
  <c r="M848" i="1"/>
  <c r="T848" i="1" s="1"/>
  <c r="U848" i="1" s="1"/>
  <c r="Q847" i="1"/>
  <c r="R847" i="1" s="1"/>
  <c r="R846" i="1"/>
  <c r="Q846" i="1"/>
  <c r="M846" i="1" s="1"/>
  <c r="T846" i="1" s="1"/>
  <c r="U846" i="1" s="1"/>
  <c r="Q845" i="1"/>
  <c r="R845" i="1" s="1"/>
  <c r="M845" i="1"/>
  <c r="T845" i="1" s="1"/>
  <c r="U845" i="1" s="1"/>
  <c r="U844" i="1"/>
  <c r="T844" i="1"/>
  <c r="R844" i="1"/>
  <c r="Q844" i="1"/>
  <c r="M844" i="1"/>
  <c r="Q843" i="1"/>
  <c r="R843" i="1" s="1"/>
  <c r="R842" i="1"/>
  <c r="Q842" i="1"/>
  <c r="M842" i="1"/>
  <c r="T842" i="1" s="1"/>
  <c r="U842" i="1" s="1"/>
  <c r="R841" i="1"/>
  <c r="Q841" i="1"/>
  <c r="M841" i="1" s="1"/>
  <c r="T841" i="1" s="1"/>
  <c r="U841" i="1" s="1"/>
  <c r="Q840" i="1"/>
  <c r="R840" i="1" s="1"/>
  <c r="M840" i="1"/>
  <c r="T840" i="1" s="1"/>
  <c r="U840" i="1" s="1"/>
  <c r="Q839" i="1"/>
  <c r="R839" i="1" s="1"/>
  <c r="R838" i="1"/>
  <c r="Q838" i="1"/>
  <c r="M838" i="1" s="1"/>
  <c r="T838" i="1" s="1"/>
  <c r="U838" i="1" s="1"/>
  <c r="Q837" i="1"/>
  <c r="R837" i="1" s="1"/>
  <c r="M837" i="1"/>
  <c r="T837" i="1" s="1"/>
  <c r="U837" i="1" s="1"/>
  <c r="U836" i="1"/>
  <c r="T836" i="1"/>
  <c r="R836" i="1"/>
  <c r="Q836" i="1"/>
  <c r="M836" i="1"/>
  <c r="R834" i="1"/>
  <c r="Q834" i="1"/>
  <c r="M834" i="1"/>
  <c r="T834" i="1" s="1"/>
  <c r="U834" i="1" s="1"/>
  <c r="R833" i="1"/>
  <c r="Q833" i="1"/>
  <c r="M833" i="1" s="1"/>
  <c r="T833" i="1" s="1"/>
  <c r="U833" i="1" s="1"/>
  <c r="Q832" i="1"/>
  <c r="R832" i="1" s="1"/>
  <c r="M832" i="1"/>
  <c r="T832" i="1" s="1"/>
  <c r="U832" i="1" s="1"/>
  <c r="Q831" i="1"/>
  <c r="R831" i="1" s="1"/>
  <c r="R830" i="1"/>
  <c r="Q830" i="1"/>
  <c r="M830" i="1" s="1"/>
  <c r="T830" i="1" s="1"/>
  <c r="U830" i="1" s="1"/>
  <c r="Q829" i="1"/>
  <c r="R829" i="1" s="1"/>
  <c r="M829" i="1"/>
  <c r="T829" i="1" s="1"/>
  <c r="U829" i="1" s="1"/>
  <c r="Q827" i="1"/>
  <c r="R827" i="1" s="1"/>
  <c r="R826" i="1"/>
  <c r="Q826" i="1"/>
  <c r="M826" i="1"/>
  <c r="T826" i="1" s="1"/>
  <c r="U826" i="1" s="1"/>
  <c r="S824" i="1"/>
  <c r="P824" i="1"/>
  <c r="O824" i="1"/>
  <c r="O823" i="1" s="1"/>
  <c r="N824" i="1"/>
  <c r="L824" i="1"/>
  <c r="D69" i="2" s="1"/>
  <c r="K824" i="1"/>
  <c r="J824" i="1"/>
  <c r="I824" i="1"/>
  <c r="C69" i="2" s="1"/>
  <c r="C68" i="2" s="1"/>
  <c r="L823" i="1"/>
  <c r="J823" i="1"/>
  <c r="I823" i="1"/>
  <c r="R821" i="1"/>
  <c r="Q821" i="1"/>
  <c r="M821" i="1"/>
  <c r="T821" i="1" s="1"/>
  <c r="U821" i="1" s="1"/>
  <c r="R820" i="1"/>
  <c r="Q820" i="1"/>
  <c r="M820" i="1" s="1"/>
  <c r="T820" i="1" s="1"/>
  <c r="U820" i="1" s="1"/>
  <c r="Q819" i="1"/>
  <c r="R819" i="1" s="1"/>
  <c r="M819" i="1"/>
  <c r="T819" i="1" s="1"/>
  <c r="U819" i="1" s="1"/>
  <c r="Q818" i="1"/>
  <c r="R818" i="1" s="1"/>
  <c r="R817" i="1"/>
  <c r="Q817" i="1"/>
  <c r="M817" i="1" s="1"/>
  <c r="T817" i="1" s="1"/>
  <c r="U817" i="1" s="1"/>
  <c r="Q816" i="1"/>
  <c r="R816" i="1" s="1"/>
  <c r="M816" i="1"/>
  <c r="T816" i="1" s="1"/>
  <c r="U816" i="1" s="1"/>
  <c r="T815" i="1"/>
  <c r="U815" i="1" s="1"/>
  <c r="R815" i="1"/>
  <c r="Q815" i="1"/>
  <c r="M815" i="1"/>
  <c r="Q814" i="1"/>
  <c r="R814" i="1" s="1"/>
  <c r="R813" i="1"/>
  <c r="Q813" i="1"/>
  <c r="M813" i="1"/>
  <c r="T813" i="1" s="1"/>
  <c r="U813" i="1" s="1"/>
  <c r="R812" i="1"/>
  <c r="Q812" i="1"/>
  <c r="M812" i="1" s="1"/>
  <c r="T812" i="1" s="1"/>
  <c r="U812" i="1" s="1"/>
  <c r="Q811" i="1"/>
  <c r="R811" i="1" s="1"/>
  <c r="M811" i="1"/>
  <c r="T811" i="1" s="1"/>
  <c r="U811" i="1" s="1"/>
  <c r="Q810" i="1"/>
  <c r="R810" i="1" s="1"/>
  <c r="R809" i="1"/>
  <c r="Q809" i="1"/>
  <c r="M809" i="1" s="1"/>
  <c r="T809" i="1" s="1"/>
  <c r="U809" i="1" s="1"/>
  <c r="Q808" i="1"/>
  <c r="R808" i="1" s="1"/>
  <c r="M808" i="1"/>
  <c r="T808" i="1" s="1"/>
  <c r="U808" i="1" s="1"/>
  <c r="T807" i="1"/>
  <c r="U807" i="1" s="1"/>
  <c r="R807" i="1"/>
  <c r="Q807" i="1"/>
  <c r="M807" i="1"/>
  <c r="Q806" i="1"/>
  <c r="R806" i="1" s="1"/>
  <c r="R805" i="1"/>
  <c r="Q805" i="1"/>
  <c r="M805" i="1"/>
  <c r="T805" i="1" s="1"/>
  <c r="U805" i="1" s="1"/>
  <c r="R804" i="1"/>
  <c r="Q804" i="1"/>
  <c r="M804" i="1" s="1"/>
  <c r="T804" i="1" s="1"/>
  <c r="U804" i="1" s="1"/>
  <c r="Q803" i="1"/>
  <c r="R803" i="1" s="1"/>
  <c r="M803" i="1"/>
  <c r="T803" i="1" s="1"/>
  <c r="U803" i="1" s="1"/>
  <c r="Q802" i="1"/>
  <c r="R802" i="1" s="1"/>
  <c r="S801" i="1"/>
  <c r="Q801" i="1"/>
  <c r="P801" i="1"/>
  <c r="O801" i="1"/>
  <c r="N801" i="1"/>
  <c r="L801" i="1"/>
  <c r="D66" i="2" s="1"/>
  <c r="K801" i="1"/>
  <c r="J801" i="1"/>
  <c r="I801" i="1"/>
  <c r="C66" i="2" s="1"/>
  <c r="Q800" i="1"/>
  <c r="R800" i="1" s="1"/>
  <c r="R799" i="1" s="1"/>
  <c r="S799" i="1"/>
  <c r="Q799" i="1"/>
  <c r="P799" i="1"/>
  <c r="O799" i="1"/>
  <c r="N799" i="1"/>
  <c r="L799" i="1"/>
  <c r="D65" i="2" s="1"/>
  <c r="K799" i="1"/>
  <c r="J799" i="1"/>
  <c r="I799" i="1"/>
  <c r="C65" i="2" s="1"/>
  <c r="Q796" i="1"/>
  <c r="R796" i="1" s="1"/>
  <c r="U795" i="1"/>
  <c r="T795" i="1"/>
  <c r="R795" i="1"/>
  <c r="Q795" i="1"/>
  <c r="M795" i="1"/>
  <c r="Q794" i="1"/>
  <c r="R794" i="1" s="1"/>
  <c r="R793" i="1"/>
  <c r="Q793" i="1"/>
  <c r="M793" i="1"/>
  <c r="T793" i="1" s="1"/>
  <c r="U793" i="1" s="1"/>
  <c r="R792" i="1"/>
  <c r="Q792" i="1"/>
  <c r="M792" i="1" s="1"/>
  <c r="T792" i="1" s="1"/>
  <c r="U792" i="1" s="1"/>
  <c r="Q791" i="1"/>
  <c r="R791" i="1" s="1"/>
  <c r="M791" i="1"/>
  <c r="T791" i="1" s="1"/>
  <c r="U791" i="1" s="1"/>
  <c r="Q790" i="1"/>
  <c r="R790" i="1" s="1"/>
  <c r="R789" i="1"/>
  <c r="Q789" i="1"/>
  <c r="M789" i="1" s="1"/>
  <c r="T789" i="1" s="1"/>
  <c r="U789" i="1" s="1"/>
  <c r="Q788" i="1"/>
  <c r="R788" i="1" s="1"/>
  <c r="Q786" i="1"/>
  <c r="R786" i="1" s="1"/>
  <c r="K786" i="1"/>
  <c r="K780" i="1" s="1"/>
  <c r="J786" i="1"/>
  <c r="I786" i="1"/>
  <c r="Q785" i="1"/>
  <c r="R785" i="1" s="1"/>
  <c r="R784" i="1"/>
  <c r="Q784" i="1"/>
  <c r="M784" i="1"/>
  <c r="T784" i="1" s="1"/>
  <c r="U784" i="1" s="1"/>
  <c r="R783" i="1"/>
  <c r="Q783" i="1"/>
  <c r="M783" i="1" s="1"/>
  <c r="T783" i="1" s="1"/>
  <c r="U783" i="1" s="1"/>
  <c r="R781" i="1"/>
  <c r="Q781" i="1"/>
  <c r="M781" i="1" s="1"/>
  <c r="S780" i="1"/>
  <c r="P780" i="1"/>
  <c r="O780" i="1"/>
  <c r="N780" i="1"/>
  <c r="L780" i="1"/>
  <c r="D64" i="2" s="1"/>
  <c r="J780" i="1"/>
  <c r="I780" i="1"/>
  <c r="C64" i="2" s="1"/>
  <c r="R779" i="1"/>
  <c r="Q779" i="1"/>
  <c r="M779" i="1" s="1"/>
  <c r="T779" i="1" s="1"/>
  <c r="U779" i="1" s="1"/>
  <c r="R778" i="1"/>
  <c r="Q778" i="1"/>
  <c r="M778" i="1"/>
  <c r="T778" i="1" s="1"/>
  <c r="U778" i="1" s="1"/>
  <c r="Q777" i="1"/>
  <c r="R777" i="1" s="1"/>
  <c r="R776" i="1"/>
  <c r="Q776" i="1"/>
  <c r="M776" i="1" s="1"/>
  <c r="T776" i="1" s="1"/>
  <c r="U776" i="1" s="1"/>
  <c r="Q775" i="1"/>
  <c r="R775" i="1" s="1"/>
  <c r="U774" i="1"/>
  <c r="T774" i="1"/>
  <c r="R774" i="1"/>
  <c r="Q774" i="1"/>
  <c r="M774" i="1"/>
  <c r="R772" i="1"/>
  <c r="Q772" i="1"/>
  <c r="M772" i="1"/>
  <c r="T772" i="1" s="1"/>
  <c r="U772" i="1" s="1"/>
  <c r="S771" i="1"/>
  <c r="P771" i="1"/>
  <c r="O771" i="1"/>
  <c r="N771" i="1"/>
  <c r="L771" i="1"/>
  <c r="D63" i="2" s="1"/>
  <c r="K771" i="1"/>
  <c r="J771" i="1"/>
  <c r="I771" i="1"/>
  <c r="C63" i="2" s="1"/>
  <c r="R770" i="1"/>
  <c r="Q770" i="1"/>
  <c r="M770" i="1"/>
  <c r="T770" i="1" s="1"/>
  <c r="U770" i="1" s="1"/>
  <c r="T769" i="1"/>
  <c r="U769" i="1" s="1"/>
  <c r="R769" i="1"/>
  <c r="Q769" i="1"/>
  <c r="M769" i="1" s="1"/>
  <c r="R768" i="1"/>
  <c r="Q768" i="1"/>
  <c r="Q767" i="1" s="1"/>
  <c r="M768" i="1"/>
  <c r="S767" i="1"/>
  <c r="P767" i="1"/>
  <c r="O767" i="1"/>
  <c r="N767" i="1"/>
  <c r="L767" i="1"/>
  <c r="D62" i="2" s="1"/>
  <c r="K767" i="1"/>
  <c r="J767" i="1"/>
  <c r="I767" i="1"/>
  <c r="C62" i="2" s="1"/>
  <c r="R766" i="1"/>
  <c r="R765" i="1" s="1"/>
  <c r="Q766" i="1"/>
  <c r="Q765" i="1" s="1"/>
  <c r="M766" i="1"/>
  <c r="S765" i="1"/>
  <c r="P765" i="1"/>
  <c r="O765" i="1"/>
  <c r="N765" i="1"/>
  <c r="L765" i="1"/>
  <c r="D61" i="2" s="1"/>
  <c r="K765" i="1"/>
  <c r="J765" i="1"/>
  <c r="I765" i="1"/>
  <c r="C61" i="2" s="1"/>
  <c r="R764" i="1"/>
  <c r="Q764" i="1"/>
  <c r="M764" i="1"/>
  <c r="T764" i="1" s="1"/>
  <c r="U764" i="1" s="1"/>
  <c r="S762" i="1"/>
  <c r="P762" i="1"/>
  <c r="O762" i="1"/>
  <c r="N762" i="1"/>
  <c r="L762" i="1"/>
  <c r="D60" i="2" s="1"/>
  <c r="K762" i="1"/>
  <c r="J762" i="1"/>
  <c r="I762" i="1"/>
  <c r="C60" i="2" s="1"/>
  <c r="U761" i="1"/>
  <c r="T761" i="1"/>
  <c r="Q761" i="1"/>
  <c r="R761" i="1" s="1"/>
  <c r="M761" i="1"/>
  <c r="Q760" i="1"/>
  <c r="M760" i="1" s="1"/>
  <c r="T760" i="1" s="1"/>
  <c r="U760" i="1" s="1"/>
  <c r="T758" i="1"/>
  <c r="U758" i="1" s="1"/>
  <c r="R758" i="1"/>
  <c r="Q758" i="1"/>
  <c r="M758" i="1"/>
  <c r="S757" i="1"/>
  <c r="P757" i="1"/>
  <c r="O757" i="1"/>
  <c r="N757" i="1"/>
  <c r="L757" i="1"/>
  <c r="D59" i="2" s="1"/>
  <c r="K757" i="1"/>
  <c r="J757" i="1"/>
  <c r="I757" i="1"/>
  <c r="C59" i="2" s="1"/>
  <c r="Q755" i="1"/>
  <c r="R755" i="1" s="1"/>
  <c r="M755" i="1"/>
  <c r="T755" i="1" s="1"/>
  <c r="U755" i="1" s="1"/>
  <c r="Q754" i="1"/>
  <c r="R754" i="1" s="1"/>
  <c r="M754" i="1"/>
  <c r="T754" i="1" s="1"/>
  <c r="U754" i="1" s="1"/>
  <c r="R753" i="1"/>
  <c r="Q753" i="1"/>
  <c r="M753" i="1" s="1"/>
  <c r="T753" i="1" s="1"/>
  <c r="U753" i="1" s="1"/>
  <c r="Q751" i="1"/>
  <c r="R751" i="1" s="1"/>
  <c r="R750" i="1"/>
  <c r="Q750" i="1"/>
  <c r="M750" i="1" s="1"/>
  <c r="T750" i="1" s="1"/>
  <c r="U750" i="1" s="1"/>
  <c r="Q749" i="1"/>
  <c r="S748" i="1"/>
  <c r="P748" i="1"/>
  <c r="O748" i="1"/>
  <c r="N748" i="1"/>
  <c r="L748" i="1"/>
  <c r="D58" i="2" s="1"/>
  <c r="K748" i="1"/>
  <c r="J748" i="1"/>
  <c r="I748" i="1"/>
  <c r="C58" i="2" s="1"/>
  <c r="Q747" i="1"/>
  <c r="R747" i="1" s="1"/>
  <c r="T746" i="1"/>
  <c r="U746" i="1" s="1"/>
  <c r="R746" i="1"/>
  <c r="Q746" i="1"/>
  <c r="M746" i="1"/>
  <c r="Q745" i="1"/>
  <c r="R745" i="1" s="1"/>
  <c r="M745" i="1"/>
  <c r="T745" i="1" s="1"/>
  <c r="U745" i="1" s="1"/>
  <c r="Q744" i="1"/>
  <c r="R744" i="1" s="1"/>
  <c r="M744" i="1"/>
  <c r="T744" i="1" s="1"/>
  <c r="U744" i="1" s="1"/>
  <c r="R742" i="1"/>
  <c r="Q742" i="1"/>
  <c r="M742" i="1"/>
  <c r="S741" i="1"/>
  <c r="P741" i="1"/>
  <c r="O741" i="1"/>
  <c r="N741" i="1"/>
  <c r="L741" i="1"/>
  <c r="D57" i="2" s="1"/>
  <c r="K741" i="1"/>
  <c r="J741" i="1"/>
  <c r="I741" i="1"/>
  <c r="C57" i="2" s="1"/>
  <c r="R740" i="1"/>
  <c r="Q740" i="1"/>
  <c r="M740" i="1"/>
  <c r="T740" i="1" s="1"/>
  <c r="U740" i="1" s="1"/>
  <c r="U739" i="1"/>
  <c r="T739" i="1"/>
  <c r="R739" i="1"/>
  <c r="Q739" i="1"/>
  <c r="M739" i="1"/>
  <c r="R738" i="1"/>
  <c r="Q738" i="1"/>
  <c r="M738" i="1" s="1"/>
  <c r="T738" i="1" s="1"/>
  <c r="U738" i="1" s="1"/>
  <c r="Q737" i="1"/>
  <c r="R737" i="1" s="1"/>
  <c r="R736" i="1"/>
  <c r="Q736" i="1"/>
  <c r="M736" i="1" s="1"/>
  <c r="T736" i="1" s="1"/>
  <c r="U736" i="1" s="1"/>
  <c r="R735" i="1"/>
  <c r="Q735" i="1"/>
  <c r="M735" i="1" s="1"/>
  <c r="T735" i="1" s="1"/>
  <c r="U735" i="1" s="1"/>
  <c r="Q734" i="1"/>
  <c r="R734" i="1" s="1"/>
  <c r="M734" i="1"/>
  <c r="T734" i="1" s="1"/>
  <c r="U734" i="1" s="1"/>
  <c r="U733" i="1"/>
  <c r="T733" i="1"/>
  <c r="Q733" i="1"/>
  <c r="M733" i="1" s="1"/>
  <c r="R732" i="1"/>
  <c r="Q732" i="1"/>
  <c r="M732" i="1"/>
  <c r="T732" i="1" s="1"/>
  <c r="U732" i="1" s="1"/>
  <c r="T731" i="1"/>
  <c r="U731" i="1" s="1"/>
  <c r="R731" i="1"/>
  <c r="Q731" i="1"/>
  <c r="M731" i="1" s="1"/>
  <c r="Q730" i="1"/>
  <c r="R730" i="1" s="1"/>
  <c r="M730" i="1"/>
  <c r="T730" i="1" s="1"/>
  <c r="U730" i="1" s="1"/>
  <c r="Q729" i="1"/>
  <c r="R729" i="1" s="1"/>
  <c r="T728" i="1"/>
  <c r="U728" i="1" s="1"/>
  <c r="R728" i="1"/>
  <c r="Q728" i="1"/>
  <c r="M728" i="1" s="1"/>
  <c r="Q727" i="1"/>
  <c r="M727" i="1" s="1"/>
  <c r="T727" i="1" s="1"/>
  <c r="U727" i="1" s="1"/>
  <c r="Q726" i="1"/>
  <c r="R726" i="1" s="1"/>
  <c r="M726" i="1"/>
  <c r="T726" i="1" s="1"/>
  <c r="U726" i="1" s="1"/>
  <c r="Q725" i="1"/>
  <c r="M725" i="1" s="1"/>
  <c r="T725" i="1" s="1"/>
  <c r="U725" i="1" s="1"/>
  <c r="R724" i="1"/>
  <c r="Q724" i="1"/>
  <c r="M724" i="1"/>
  <c r="T724" i="1" s="1"/>
  <c r="U724" i="1" s="1"/>
  <c r="R723" i="1"/>
  <c r="Q723" i="1"/>
  <c r="M723" i="1" s="1"/>
  <c r="T723" i="1" s="1"/>
  <c r="U723" i="1" s="1"/>
  <c r="Q722" i="1"/>
  <c r="R722" i="1" s="1"/>
  <c r="Q721" i="1"/>
  <c r="R721" i="1" s="1"/>
  <c r="M721" i="1"/>
  <c r="T721" i="1" s="1"/>
  <c r="U721" i="1" s="1"/>
  <c r="Q720" i="1"/>
  <c r="R720" i="1" s="1"/>
  <c r="Q719" i="1"/>
  <c r="M719" i="1" s="1"/>
  <c r="T719" i="1" s="1"/>
  <c r="U719" i="1" s="1"/>
  <c r="T718" i="1"/>
  <c r="U718" i="1" s="1"/>
  <c r="R718" i="1"/>
  <c r="Q718" i="1"/>
  <c r="M718" i="1"/>
  <c r="S717" i="1"/>
  <c r="P717" i="1"/>
  <c r="O717" i="1"/>
  <c r="N717" i="1"/>
  <c r="L717" i="1"/>
  <c r="D56" i="2" s="1"/>
  <c r="K717" i="1"/>
  <c r="J717" i="1"/>
  <c r="I717" i="1"/>
  <c r="C56" i="2" s="1"/>
  <c r="T716" i="1"/>
  <c r="U716" i="1" s="1"/>
  <c r="R716" i="1"/>
  <c r="Q716" i="1"/>
  <c r="M716" i="1"/>
  <c r="T715" i="1"/>
  <c r="U715" i="1" s="1"/>
  <c r="R715" i="1"/>
  <c r="Q715" i="1"/>
  <c r="M715" i="1"/>
  <c r="Q714" i="1"/>
  <c r="R714" i="1" s="1"/>
  <c r="M714" i="1"/>
  <c r="T714" i="1" s="1"/>
  <c r="U714" i="1" s="1"/>
  <c r="R713" i="1"/>
  <c r="Q713" i="1"/>
  <c r="M713" i="1" s="1"/>
  <c r="T713" i="1" s="1"/>
  <c r="U713" i="1" s="1"/>
  <c r="R712" i="1"/>
  <c r="Q712" i="1"/>
  <c r="M712" i="1" s="1"/>
  <c r="T712" i="1" s="1"/>
  <c r="U712" i="1" s="1"/>
  <c r="Q711" i="1"/>
  <c r="R711" i="1" s="1"/>
  <c r="M711" i="1"/>
  <c r="T711" i="1" s="1"/>
  <c r="U711" i="1" s="1"/>
  <c r="Q710" i="1"/>
  <c r="R710" i="1" s="1"/>
  <c r="P709" i="1"/>
  <c r="O709" i="1"/>
  <c r="N709" i="1"/>
  <c r="L709" i="1"/>
  <c r="D55" i="2" s="1"/>
  <c r="K709" i="1"/>
  <c r="J709" i="1"/>
  <c r="I709" i="1"/>
  <c r="C55" i="2" s="1"/>
  <c r="T708" i="1"/>
  <c r="U708" i="1" s="1"/>
  <c r="R708" i="1"/>
  <c r="Q708" i="1"/>
  <c r="M708" i="1"/>
  <c r="Q707" i="1"/>
  <c r="R707" i="1" s="1"/>
  <c r="R706" i="1" s="1"/>
  <c r="M707" i="1"/>
  <c r="T707" i="1" s="1"/>
  <c r="U707" i="1" s="1"/>
  <c r="S706" i="1"/>
  <c r="Q706" i="1"/>
  <c r="P706" i="1"/>
  <c r="O706" i="1"/>
  <c r="N706" i="1"/>
  <c r="L706" i="1"/>
  <c r="D54" i="2" s="1"/>
  <c r="K706" i="1"/>
  <c r="J706" i="1"/>
  <c r="I706" i="1"/>
  <c r="C54" i="2" s="1"/>
  <c r="Q705" i="1"/>
  <c r="R705" i="1" s="1"/>
  <c r="M705" i="1"/>
  <c r="T705" i="1" s="1"/>
  <c r="U705" i="1" s="1"/>
  <c r="R704" i="1"/>
  <c r="Q704" i="1"/>
  <c r="M704" i="1" s="1"/>
  <c r="S703" i="1"/>
  <c r="Q703" i="1"/>
  <c r="P703" i="1"/>
  <c r="O703" i="1"/>
  <c r="N703" i="1"/>
  <c r="L703" i="1"/>
  <c r="D53" i="2" s="1"/>
  <c r="K703" i="1"/>
  <c r="J703" i="1"/>
  <c r="I703" i="1"/>
  <c r="C53" i="2" s="1"/>
  <c r="R702" i="1"/>
  <c r="R701" i="1" s="1"/>
  <c r="Q702" i="1"/>
  <c r="M702" i="1" s="1"/>
  <c r="S701" i="1"/>
  <c r="Q701" i="1"/>
  <c r="P701" i="1"/>
  <c r="O701" i="1"/>
  <c r="N701" i="1"/>
  <c r="L701" i="1"/>
  <c r="D52" i="2" s="1"/>
  <c r="K701" i="1"/>
  <c r="J701" i="1"/>
  <c r="I701" i="1"/>
  <c r="C52" i="2" s="1"/>
  <c r="R700" i="1"/>
  <c r="Q700" i="1"/>
  <c r="M700" i="1" s="1"/>
  <c r="T700" i="1" s="1"/>
  <c r="U700" i="1" s="1"/>
  <c r="R699" i="1"/>
  <c r="Q699" i="1"/>
  <c r="M699" i="1" s="1"/>
  <c r="T699" i="1" s="1"/>
  <c r="U699" i="1" s="1"/>
  <c r="Q698" i="1"/>
  <c r="Q697" i="1" s="1"/>
  <c r="M698" i="1"/>
  <c r="T698" i="1" s="1"/>
  <c r="U698" i="1" s="1"/>
  <c r="S697" i="1"/>
  <c r="P697" i="1"/>
  <c r="O697" i="1"/>
  <c r="N697" i="1"/>
  <c r="L697" i="1"/>
  <c r="D51" i="2" s="1"/>
  <c r="K697" i="1"/>
  <c r="J697" i="1"/>
  <c r="I697" i="1"/>
  <c r="C51" i="2" s="1"/>
  <c r="Q696" i="1"/>
  <c r="R696" i="1" s="1"/>
  <c r="M696" i="1"/>
  <c r="T696" i="1" s="1"/>
  <c r="U696" i="1" s="1"/>
  <c r="Q695" i="1"/>
  <c r="R695" i="1" s="1"/>
  <c r="Q694" i="1"/>
  <c r="M694" i="1" s="1"/>
  <c r="T694" i="1" s="1"/>
  <c r="U694" i="1" s="1"/>
  <c r="T693" i="1"/>
  <c r="U693" i="1" s="1"/>
  <c r="R693" i="1"/>
  <c r="Q693" i="1"/>
  <c r="M693" i="1"/>
  <c r="T692" i="1"/>
  <c r="U692" i="1" s="1"/>
  <c r="R692" i="1"/>
  <c r="Q692" i="1"/>
  <c r="M692" i="1"/>
  <c r="Q691" i="1"/>
  <c r="R691" i="1" s="1"/>
  <c r="M691" i="1"/>
  <c r="T691" i="1" s="1"/>
  <c r="U691" i="1" s="1"/>
  <c r="R690" i="1"/>
  <c r="Q690" i="1"/>
  <c r="M690" i="1" s="1"/>
  <c r="T690" i="1" s="1"/>
  <c r="U690" i="1" s="1"/>
  <c r="R689" i="1"/>
  <c r="Q689" i="1"/>
  <c r="M689" i="1" s="1"/>
  <c r="T689" i="1" s="1"/>
  <c r="U689" i="1" s="1"/>
  <c r="Q688" i="1"/>
  <c r="R688" i="1" s="1"/>
  <c r="M688" i="1"/>
  <c r="T688" i="1" s="1"/>
  <c r="U688" i="1" s="1"/>
  <c r="Q687" i="1"/>
  <c r="R687" i="1" s="1"/>
  <c r="Q686" i="1"/>
  <c r="M686" i="1" s="1"/>
  <c r="T686" i="1" s="1"/>
  <c r="U686" i="1" s="1"/>
  <c r="T685" i="1"/>
  <c r="U685" i="1" s="1"/>
  <c r="R685" i="1"/>
  <c r="Q685" i="1"/>
  <c r="M685" i="1"/>
  <c r="T684" i="1"/>
  <c r="U684" i="1" s="1"/>
  <c r="R684" i="1"/>
  <c r="Q684" i="1"/>
  <c r="M684" i="1"/>
  <c r="Q683" i="1"/>
  <c r="R683" i="1" s="1"/>
  <c r="M683" i="1"/>
  <c r="T683" i="1" s="1"/>
  <c r="U683" i="1" s="1"/>
  <c r="S681" i="1"/>
  <c r="P681" i="1"/>
  <c r="O681" i="1"/>
  <c r="N681" i="1"/>
  <c r="L681" i="1"/>
  <c r="D50" i="2" s="1"/>
  <c r="K681" i="1"/>
  <c r="J681" i="1"/>
  <c r="I681" i="1"/>
  <c r="C50" i="2" s="1"/>
  <c r="R680" i="1"/>
  <c r="Q680" i="1"/>
  <c r="M680" i="1"/>
  <c r="T680" i="1" s="1"/>
  <c r="U680" i="1" s="1"/>
  <c r="R679" i="1"/>
  <c r="R678" i="1" s="1"/>
  <c r="Q679" i="1"/>
  <c r="M679" i="1" s="1"/>
  <c r="S678" i="1"/>
  <c r="P678" i="1"/>
  <c r="O678" i="1"/>
  <c r="N678" i="1"/>
  <c r="L678" i="1"/>
  <c r="D49" i="2" s="1"/>
  <c r="K678" i="1"/>
  <c r="J678" i="1"/>
  <c r="I678" i="1"/>
  <c r="C49" i="2" s="1"/>
  <c r="Q676" i="1"/>
  <c r="R676" i="1" s="1"/>
  <c r="M676" i="1"/>
  <c r="T676" i="1" s="1"/>
  <c r="U676" i="1" s="1"/>
  <c r="S674" i="1"/>
  <c r="P674" i="1"/>
  <c r="O674" i="1"/>
  <c r="N674" i="1"/>
  <c r="L674" i="1"/>
  <c r="D48" i="2" s="1"/>
  <c r="K674" i="1"/>
  <c r="J674" i="1"/>
  <c r="I674" i="1"/>
  <c r="C48" i="2" s="1"/>
  <c r="Q673" i="1"/>
  <c r="R673" i="1" s="1"/>
  <c r="Q672" i="1"/>
  <c r="M672" i="1" s="1"/>
  <c r="T672" i="1" s="1"/>
  <c r="U672" i="1" s="1"/>
  <c r="Q671" i="1"/>
  <c r="R671" i="1" s="1"/>
  <c r="T670" i="1"/>
  <c r="U670" i="1" s="1"/>
  <c r="R670" i="1"/>
  <c r="Q670" i="1"/>
  <c r="M670" i="1"/>
  <c r="Q669" i="1"/>
  <c r="R669" i="1" s="1"/>
  <c r="M669" i="1"/>
  <c r="T669" i="1" s="1"/>
  <c r="U669" i="1" s="1"/>
  <c r="S667" i="1"/>
  <c r="P667" i="1"/>
  <c r="O667" i="1"/>
  <c r="N667" i="1"/>
  <c r="L667" i="1"/>
  <c r="D47" i="2" s="1"/>
  <c r="K667" i="1"/>
  <c r="J667" i="1"/>
  <c r="I667" i="1"/>
  <c r="C47" i="2" s="1"/>
  <c r="R666" i="1"/>
  <c r="Q666" i="1"/>
  <c r="M666" i="1"/>
  <c r="T666" i="1" s="1"/>
  <c r="U666" i="1" s="1"/>
  <c r="R665" i="1"/>
  <c r="Q665" i="1"/>
  <c r="M665" i="1" s="1"/>
  <c r="T665" i="1" s="1"/>
  <c r="U665" i="1" s="1"/>
  <c r="Q663" i="1"/>
  <c r="R663" i="1" s="1"/>
  <c r="S662" i="1"/>
  <c r="P662" i="1"/>
  <c r="O662" i="1"/>
  <c r="N662" i="1"/>
  <c r="L662" i="1"/>
  <c r="D46" i="2" s="1"/>
  <c r="K662" i="1"/>
  <c r="J662" i="1"/>
  <c r="I662" i="1"/>
  <c r="C46" i="2" s="1"/>
  <c r="Q661" i="1"/>
  <c r="R661" i="1" s="1"/>
  <c r="Q660" i="1"/>
  <c r="M660" i="1" s="1"/>
  <c r="R659" i="1"/>
  <c r="Q659" i="1"/>
  <c r="M659" i="1" s="1"/>
  <c r="U658" i="1"/>
  <c r="T658" i="1"/>
  <c r="R658" i="1"/>
  <c r="Q658" i="1"/>
  <c r="M658" i="1"/>
  <c r="R656" i="1"/>
  <c r="Q656" i="1"/>
  <c r="M656" i="1" s="1"/>
  <c r="T656" i="1" s="1"/>
  <c r="U656" i="1" s="1"/>
  <c r="R655" i="1"/>
  <c r="Q655" i="1"/>
  <c r="M655" i="1" s="1"/>
  <c r="Q653" i="1"/>
  <c r="R653" i="1" s="1"/>
  <c r="S652" i="1"/>
  <c r="P652" i="1"/>
  <c r="O652" i="1"/>
  <c r="N652" i="1"/>
  <c r="L652" i="1"/>
  <c r="D45" i="2" s="1"/>
  <c r="K652" i="1"/>
  <c r="J652" i="1"/>
  <c r="I652" i="1"/>
  <c r="C45" i="2" s="1"/>
  <c r="Q651" i="1"/>
  <c r="R651" i="1" s="1"/>
  <c r="Q650" i="1"/>
  <c r="M650" i="1" s="1"/>
  <c r="T650" i="1" s="1"/>
  <c r="U650" i="1" s="1"/>
  <c r="Q649" i="1"/>
  <c r="R649" i="1" s="1"/>
  <c r="T648" i="1"/>
  <c r="U648" i="1" s="1"/>
  <c r="R648" i="1"/>
  <c r="Q648" i="1"/>
  <c r="M648" i="1"/>
  <c r="Q647" i="1"/>
  <c r="R647" i="1" s="1"/>
  <c r="M647" i="1"/>
  <c r="T647" i="1" s="1"/>
  <c r="U647" i="1" s="1"/>
  <c r="R645" i="1"/>
  <c r="Q645" i="1"/>
  <c r="M645" i="1" s="1"/>
  <c r="T645" i="1" s="1"/>
  <c r="U645" i="1" s="1"/>
  <c r="R644" i="1"/>
  <c r="Q644" i="1"/>
  <c r="M644" i="1"/>
  <c r="T644" i="1" s="1"/>
  <c r="U644" i="1" s="1"/>
  <c r="S643" i="1"/>
  <c r="P643" i="1"/>
  <c r="O643" i="1"/>
  <c r="N643" i="1"/>
  <c r="L643" i="1"/>
  <c r="D44" i="2" s="1"/>
  <c r="K643" i="1"/>
  <c r="J643" i="1"/>
  <c r="I643" i="1"/>
  <c r="C44" i="2" s="1"/>
  <c r="Q641" i="1"/>
  <c r="R641" i="1" s="1"/>
  <c r="S639" i="1"/>
  <c r="P639" i="1"/>
  <c r="O639" i="1"/>
  <c r="N639" i="1"/>
  <c r="L639" i="1"/>
  <c r="D43" i="2" s="1"/>
  <c r="K639" i="1"/>
  <c r="J639" i="1"/>
  <c r="I639" i="1"/>
  <c r="C43" i="2" s="1"/>
  <c r="Q638" i="1"/>
  <c r="M638" i="1" s="1"/>
  <c r="S637" i="1"/>
  <c r="P637" i="1"/>
  <c r="O637" i="1"/>
  <c r="N637" i="1"/>
  <c r="L637" i="1"/>
  <c r="D42" i="2" s="1"/>
  <c r="K637" i="1"/>
  <c r="J637" i="1"/>
  <c r="I637" i="1"/>
  <c r="C42" i="2" s="1"/>
  <c r="Q636" i="1"/>
  <c r="M636" i="1" s="1"/>
  <c r="T636" i="1" s="1"/>
  <c r="U636" i="1" s="1"/>
  <c r="R635" i="1"/>
  <c r="Q635" i="1"/>
  <c r="M635" i="1" s="1"/>
  <c r="T635" i="1" s="1"/>
  <c r="U635" i="1" s="1"/>
  <c r="T634" i="1"/>
  <c r="U634" i="1" s="1"/>
  <c r="R634" i="1"/>
  <c r="Q634" i="1"/>
  <c r="M634" i="1"/>
  <c r="Q633" i="1"/>
  <c r="R633" i="1" s="1"/>
  <c r="M633" i="1"/>
  <c r="T633" i="1" s="1"/>
  <c r="U633" i="1" s="1"/>
  <c r="R632" i="1"/>
  <c r="Q632" i="1"/>
  <c r="M632" i="1" s="1"/>
  <c r="T632" i="1" s="1"/>
  <c r="U632" i="1" s="1"/>
  <c r="R631" i="1"/>
  <c r="Q631" i="1"/>
  <c r="M631" i="1" s="1"/>
  <c r="T631" i="1" s="1"/>
  <c r="U631" i="1" s="1"/>
  <c r="R630" i="1"/>
  <c r="Q630" i="1"/>
  <c r="M630" i="1"/>
  <c r="T630" i="1" s="1"/>
  <c r="U630" i="1" s="1"/>
  <c r="Q629" i="1"/>
  <c r="R629" i="1" s="1"/>
  <c r="Q628" i="1"/>
  <c r="M628" i="1" s="1"/>
  <c r="T628" i="1" s="1"/>
  <c r="U628" i="1" s="1"/>
  <c r="R627" i="1"/>
  <c r="Q627" i="1"/>
  <c r="M627" i="1" s="1"/>
  <c r="T627" i="1" s="1"/>
  <c r="U627" i="1" s="1"/>
  <c r="T626" i="1"/>
  <c r="U626" i="1" s="1"/>
  <c r="R626" i="1"/>
  <c r="Q626" i="1"/>
  <c r="M626" i="1"/>
  <c r="Q625" i="1"/>
  <c r="R625" i="1" s="1"/>
  <c r="M625" i="1"/>
  <c r="T625" i="1" s="1"/>
  <c r="U625" i="1" s="1"/>
  <c r="R624" i="1"/>
  <c r="Q624" i="1"/>
  <c r="M624" i="1" s="1"/>
  <c r="T624" i="1" s="1"/>
  <c r="U624" i="1" s="1"/>
  <c r="R623" i="1"/>
  <c r="Q623" i="1"/>
  <c r="M623" i="1" s="1"/>
  <c r="T623" i="1" s="1"/>
  <c r="U623" i="1" s="1"/>
  <c r="R622" i="1"/>
  <c r="Q622" i="1"/>
  <c r="M622" i="1"/>
  <c r="T622" i="1" s="1"/>
  <c r="U622" i="1" s="1"/>
  <c r="Q620" i="1"/>
  <c r="M620" i="1" s="1"/>
  <c r="T620" i="1" s="1"/>
  <c r="U620" i="1" s="1"/>
  <c r="T618" i="1"/>
  <c r="U618" i="1" s="1"/>
  <c r="R618" i="1"/>
  <c r="Q618" i="1"/>
  <c r="M618" i="1"/>
  <c r="Q617" i="1"/>
  <c r="R617" i="1" s="1"/>
  <c r="M617" i="1"/>
  <c r="T617" i="1" s="1"/>
  <c r="U617" i="1" s="1"/>
  <c r="R616" i="1"/>
  <c r="Q616" i="1"/>
  <c r="M616" i="1" s="1"/>
  <c r="T616" i="1" s="1"/>
  <c r="U616" i="1" s="1"/>
  <c r="R615" i="1"/>
  <c r="Q615" i="1"/>
  <c r="M615" i="1" s="1"/>
  <c r="T615" i="1" s="1"/>
  <c r="U615" i="1" s="1"/>
  <c r="R614" i="1"/>
  <c r="Q614" i="1"/>
  <c r="M614" i="1"/>
  <c r="T614" i="1" s="1"/>
  <c r="U614" i="1" s="1"/>
  <c r="Q613" i="1"/>
  <c r="R613" i="1" s="1"/>
  <c r="Q612" i="1"/>
  <c r="M612" i="1" s="1"/>
  <c r="T612" i="1" s="1"/>
  <c r="U612" i="1" s="1"/>
  <c r="Q611" i="1"/>
  <c r="R611" i="1" s="1"/>
  <c r="T610" i="1"/>
  <c r="U610" i="1" s="1"/>
  <c r="R610" i="1"/>
  <c r="Q610" i="1"/>
  <c r="M610" i="1"/>
  <c r="Q609" i="1"/>
  <c r="R609" i="1" s="1"/>
  <c r="M609" i="1"/>
  <c r="T609" i="1" s="1"/>
  <c r="U609" i="1" s="1"/>
  <c r="R608" i="1"/>
  <c r="Q608" i="1"/>
  <c r="M608" i="1"/>
  <c r="T608" i="1" s="1"/>
  <c r="U608" i="1" s="1"/>
  <c r="R607" i="1"/>
  <c r="Q607" i="1"/>
  <c r="M607" i="1" s="1"/>
  <c r="T607" i="1" s="1"/>
  <c r="U607" i="1" s="1"/>
  <c r="R606" i="1"/>
  <c r="Q606" i="1"/>
  <c r="M606" i="1"/>
  <c r="T606" i="1" s="1"/>
  <c r="U606" i="1" s="1"/>
  <c r="Q605" i="1"/>
  <c r="R605" i="1" s="1"/>
  <c r="Q604" i="1"/>
  <c r="M604" i="1" s="1"/>
  <c r="T604" i="1" s="1"/>
  <c r="U604" i="1" s="1"/>
  <c r="Q603" i="1"/>
  <c r="R603" i="1" s="1"/>
  <c r="T602" i="1"/>
  <c r="U602" i="1" s="1"/>
  <c r="R602" i="1"/>
  <c r="Q602" i="1"/>
  <c r="M602" i="1"/>
  <c r="Q601" i="1"/>
  <c r="R601" i="1" s="1"/>
  <c r="M601" i="1"/>
  <c r="T601" i="1" s="1"/>
  <c r="U601" i="1" s="1"/>
  <c r="R600" i="1"/>
  <c r="Q600" i="1"/>
  <c r="M600" i="1" s="1"/>
  <c r="T600" i="1" s="1"/>
  <c r="U600" i="1" s="1"/>
  <c r="R599" i="1"/>
  <c r="Q599" i="1"/>
  <c r="M599" i="1" s="1"/>
  <c r="T599" i="1" s="1"/>
  <c r="U599" i="1" s="1"/>
  <c r="R598" i="1"/>
  <c r="Q598" i="1"/>
  <c r="M598" i="1"/>
  <c r="T598" i="1" s="1"/>
  <c r="U598" i="1" s="1"/>
  <c r="Q597" i="1"/>
  <c r="R597" i="1" s="1"/>
  <c r="Q596" i="1"/>
  <c r="M596" i="1" s="1"/>
  <c r="T596" i="1" s="1"/>
  <c r="U596" i="1" s="1"/>
  <c r="Q595" i="1"/>
  <c r="R595" i="1" s="1"/>
  <c r="T594" i="1"/>
  <c r="U594" i="1" s="1"/>
  <c r="R594" i="1"/>
  <c r="Q594" i="1"/>
  <c r="M594" i="1"/>
  <c r="Q593" i="1"/>
  <c r="R593" i="1" s="1"/>
  <c r="M593" i="1"/>
  <c r="T593" i="1" s="1"/>
  <c r="U593" i="1" s="1"/>
  <c r="R592" i="1"/>
  <c r="Q592" i="1"/>
  <c r="M592" i="1"/>
  <c r="T592" i="1" s="1"/>
  <c r="U592" i="1" s="1"/>
  <c r="R591" i="1"/>
  <c r="Q591" i="1"/>
  <c r="M591" i="1" s="1"/>
  <c r="T591" i="1" s="1"/>
  <c r="U591" i="1" s="1"/>
  <c r="Q590" i="1"/>
  <c r="R590" i="1" s="1"/>
  <c r="M590" i="1"/>
  <c r="T590" i="1" s="1"/>
  <c r="U590" i="1" s="1"/>
  <c r="Q589" i="1"/>
  <c r="R589" i="1" s="1"/>
  <c r="Q588" i="1"/>
  <c r="Q587" i="1"/>
  <c r="R587" i="1" s="1"/>
  <c r="T586" i="1"/>
  <c r="U586" i="1" s="1"/>
  <c r="R586" i="1"/>
  <c r="Q586" i="1"/>
  <c r="M586" i="1"/>
  <c r="Q585" i="1"/>
  <c r="R585" i="1" s="1"/>
  <c r="M585" i="1"/>
  <c r="T585" i="1" s="1"/>
  <c r="U585" i="1" s="1"/>
  <c r="R584" i="1"/>
  <c r="Q584" i="1"/>
  <c r="M584" i="1"/>
  <c r="T584" i="1" s="1"/>
  <c r="U584" i="1" s="1"/>
  <c r="R583" i="1"/>
  <c r="Q583" i="1"/>
  <c r="M583" i="1" s="1"/>
  <c r="T583" i="1" s="1"/>
  <c r="U583" i="1" s="1"/>
  <c r="Q582" i="1"/>
  <c r="R582" i="1" s="1"/>
  <c r="M582" i="1"/>
  <c r="T582" i="1" s="1"/>
  <c r="U582" i="1" s="1"/>
  <c r="Q581" i="1"/>
  <c r="R581" i="1" s="1"/>
  <c r="Q580" i="1"/>
  <c r="Q579" i="1"/>
  <c r="R579" i="1" s="1"/>
  <c r="T578" i="1"/>
  <c r="U578" i="1" s="1"/>
  <c r="R578" i="1"/>
  <c r="Q578" i="1"/>
  <c r="M578" i="1"/>
  <c r="Q577" i="1"/>
  <c r="R577" i="1" s="1"/>
  <c r="M577" i="1"/>
  <c r="T577" i="1" s="1"/>
  <c r="U577" i="1" s="1"/>
  <c r="R576" i="1"/>
  <c r="Q576" i="1"/>
  <c r="M576" i="1"/>
  <c r="T576" i="1" s="1"/>
  <c r="U576" i="1" s="1"/>
  <c r="Q575" i="1"/>
  <c r="M575" i="1" s="1"/>
  <c r="T575" i="1" s="1"/>
  <c r="U575" i="1" s="1"/>
  <c r="R574" i="1"/>
  <c r="Q574" i="1"/>
  <c r="M574" i="1"/>
  <c r="T574" i="1" s="1"/>
  <c r="U574" i="1" s="1"/>
  <c r="Q573" i="1"/>
  <c r="R573" i="1" s="1"/>
  <c r="Q572" i="1"/>
  <c r="R572" i="1" s="1"/>
  <c r="M572" i="1"/>
  <c r="T572" i="1" s="1"/>
  <c r="U572" i="1" s="1"/>
  <c r="Q571" i="1"/>
  <c r="R571" i="1" s="1"/>
  <c r="T570" i="1"/>
  <c r="U570" i="1" s="1"/>
  <c r="R570" i="1"/>
  <c r="Q570" i="1"/>
  <c r="M570" i="1"/>
  <c r="Q569" i="1"/>
  <c r="R569" i="1" s="1"/>
  <c r="M569" i="1"/>
  <c r="T569" i="1" s="1"/>
  <c r="U569" i="1" s="1"/>
  <c r="U568" i="1"/>
  <c r="R568" i="1"/>
  <c r="Q568" i="1"/>
  <c r="M568" i="1"/>
  <c r="T568" i="1" s="1"/>
  <c r="Q567" i="1"/>
  <c r="R566" i="1"/>
  <c r="Q566" i="1"/>
  <c r="M566" i="1"/>
  <c r="T566" i="1" s="1"/>
  <c r="U566" i="1" s="1"/>
  <c r="Q565" i="1"/>
  <c r="R565" i="1" s="1"/>
  <c r="Q564" i="1"/>
  <c r="R564" i="1" s="1"/>
  <c r="M564" i="1"/>
  <c r="T564" i="1" s="1"/>
  <c r="U564" i="1" s="1"/>
  <c r="Q563" i="1"/>
  <c r="R563" i="1" s="1"/>
  <c r="T562" i="1"/>
  <c r="U562" i="1" s="1"/>
  <c r="R562" i="1"/>
  <c r="Q562" i="1"/>
  <c r="M562" i="1"/>
  <c r="Q561" i="1"/>
  <c r="R561" i="1" s="1"/>
  <c r="M561" i="1"/>
  <c r="T561" i="1" s="1"/>
  <c r="U561" i="1" s="1"/>
  <c r="Q560" i="1"/>
  <c r="M560" i="1" s="1"/>
  <c r="T560" i="1" s="1"/>
  <c r="U560" i="1" s="1"/>
  <c r="T558" i="1"/>
  <c r="U558" i="1" s="1"/>
  <c r="R558" i="1"/>
  <c r="Q558" i="1"/>
  <c r="M558" i="1"/>
  <c r="T557" i="1"/>
  <c r="U557" i="1" s="1"/>
  <c r="Q557" i="1"/>
  <c r="R557" i="1" s="1"/>
  <c r="M557" i="1"/>
  <c r="R556" i="1"/>
  <c r="Q556" i="1"/>
  <c r="M556" i="1"/>
  <c r="T556" i="1" s="1"/>
  <c r="U556" i="1" s="1"/>
  <c r="R555" i="1"/>
  <c r="Q555" i="1"/>
  <c r="M555" i="1" s="1"/>
  <c r="T555" i="1" s="1"/>
  <c r="U555" i="1" s="1"/>
  <c r="R554" i="1"/>
  <c r="Q554" i="1"/>
  <c r="M554" i="1" s="1"/>
  <c r="T554" i="1" s="1"/>
  <c r="U554" i="1" s="1"/>
  <c r="Q553" i="1"/>
  <c r="R553" i="1" s="1"/>
  <c r="U552" i="1"/>
  <c r="Q552" i="1"/>
  <c r="M552" i="1" s="1"/>
  <c r="T552" i="1" s="1"/>
  <c r="Q551" i="1"/>
  <c r="T550" i="1"/>
  <c r="U550" i="1" s="1"/>
  <c r="R550" i="1"/>
  <c r="Q550" i="1"/>
  <c r="M550" i="1"/>
  <c r="T549" i="1"/>
  <c r="U549" i="1" s="1"/>
  <c r="R549" i="1"/>
  <c r="Q549" i="1"/>
  <c r="M549" i="1"/>
  <c r="R547" i="1"/>
  <c r="Q547" i="1"/>
  <c r="M547" i="1" s="1"/>
  <c r="T547" i="1" s="1"/>
  <c r="U547" i="1" s="1"/>
  <c r="R546" i="1"/>
  <c r="Q546" i="1"/>
  <c r="M546" i="1" s="1"/>
  <c r="T546" i="1" s="1"/>
  <c r="U546" i="1" s="1"/>
  <c r="Q545" i="1"/>
  <c r="R545" i="1" s="1"/>
  <c r="Q544" i="1"/>
  <c r="M544" i="1" s="1"/>
  <c r="T544" i="1" s="1"/>
  <c r="U544" i="1" s="1"/>
  <c r="Q543" i="1"/>
  <c r="T542" i="1"/>
  <c r="U542" i="1" s="1"/>
  <c r="R542" i="1"/>
  <c r="Q542" i="1"/>
  <c r="M542" i="1"/>
  <c r="T541" i="1"/>
  <c r="U541" i="1" s="1"/>
  <c r="Q541" i="1"/>
  <c r="R541" i="1" s="1"/>
  <c r="M541" i="1"/>
  <c r="R540" i="1"/>
  <c r="Q540" i="1"/>
  <c r="M540" i="1"/>
  <c r="T540" i="1" s="1"/>
  <c r="U540" i="1" s="1"/>
  <c r="R539" i="1"/>
  <c r="Q539" i="1"/>
  <c r="M539" i="1" s="1"/>
  <c r="T539" i="1" s="1"/>
  <c r="U539" i="1" s="1"/>
  <c r="R538" i="1"/>
  <c r="Q538" i="1"/>
  <c r="M538" i="1" s="1"/>
  <c r="T538" i="1" s="1"/>
  <c r="U538" i="1" s="1"/>
  <c r="Q537" i="1"/>
  <c r="R537" i="1" s="1"/>
  <c r="Q536" i="1"/>
  <c r="M536" i="1" s="1"/>
  <c r="T536" i="1" s="1"/>
  <c r="U536" i="1" s="1"/>
  <c r="Q535" i="1"/>
  <c r="T534" i="1"/>
  <c r="U534" i="1" s="1"/>
  <c r="R534" i="1"/>
  <c r="Q534" i="1"/>
  <c r="M534" i="1"/>
  <c r="T533" i="1"/>
  <c r="U533" i="1" s="1"/>
  <c r="R533" i="1"/>
  <c r="Q533" i="1"/>
  <c r="M533" i="1"/>
  <c r="R532" i="1"/>
  <c r="Q532" i="1"/>
  <c r="M532" i="1"/>
  <c r="T532" i="1" s="1"/>
  <c r="U532" i="1" s="1"/>
  <c r="R531" i="1"/>
  <c r="Q531" i="1"/>
  <c r="M531" i="1" s="1"/>
  <c r="T531" i="1" s="1"/>
  <c r="U531" i="1" s="1"/>
  <c r="R530" i="1"/>
  <c r="Q530" i="1"/>
  <c r="M530" i="1" s="1"/>
  <c r="T530" i="1" s="1"/>
  <c r="U530" i="1" s="1"/>
  <c r="Q529" i="1"/>
  <c r="R529" i="1" s="1"/>
  <c r="U528" i="1"/>
  <c r="Q528" i="1"/>
  <c r="M528" i="1" s="1"/>
  <c r="T528" i="1" s="1"/>
  <c r="Q527" i="1"/>
  <c r="T526" i="1"/>
  <c r="U526" i="1" s="1"/>
  <c r="R526" i="1"/>
  <c r="Q526" i="1"/>
  <c r="M526" i="1"/>
  <c r="T525" i="1"/>
  <c r="U525" i="1" s="1"/>
  <c r="R525" i="1"/>
  <c r="Q525" i="1"/>
  <c r="M525" i="1"/>
  <c r="R524" i="1"/>
  <c r="Q524" i="1"/>
  <c r="M524" i="1"/>
  <c r="T524" i="1" s="1"/>
  <c r="U524" i="1" s="1"/>
  <c r="R523" i="1"/>
  <c r="Q523" i="1"/>
  <c r="M523" i="1" s="1"/>
  <c r="T523" i="1" s="1"/>
  <c r="U523" i="1" s="1"/>
  <c r="R522" i="1"/>
  <c r="Q522" i="1"/>
  <c r="M522" i="1" s="1"/>
  <c r="T522" i="1" s="1"/>
  <c r="U522" i="1" s="1"/>
  <c r="Q521" i="1"/>
  <c r="R521" i="1" s="1"/>
  <c r="Q519" i="1"/>
  <c r="T518" i="1"/>
  <c r="U518" i="1" s="1"/>
  <c r="R518" i="1"/>
  <c r="Q518" i="1"/>
  <c r="M518" i="1"/>
  <c r="T517" i="1"/>
  <c r="U517" i="1" s="1"/>
  <c r="R517" i="1"/>
  <c r="Q517" i="1"/>
  <c r="M517" i="1"/>
  <c r="R516" i="1"/>
  <c r="Q516" i="1"/>
  <c r="M516" i="1"/>
  <c r="T516" i="1" s="1"/>
  <c r="U516" i="1" s="1"/>
  <c r="R515" i="1"/>
  <c r="Q515" i="1"/>
  <c r="M515" i="1" s="1"/>
  <c r="T515" i="1" s="1"/>
  <c r="U515" i="1" s="1"/>
  <c r="R514" i="1"/>
  <c r="Q514" i="1"/>
  <c r="M514" i="1" s="1"/>
  <c r="T514" i="1" s="1"/>
  <c r="U514" i="1" s="1"/>
  <c r="Q513" i="1"/>
  <c r="R513" i="1" s="1"/>
  <c r="Q512" i="1"/>
  <c r="M512" i="1" s="1"/>
  <c r="T512" i="1" s="1"/>
  <c r="U512" i="1" s="1"/>
  <c r="Q511" i="1"/>
  <c r="T510" i="1"/>
  <c r="U510" i="1" s="1"/>
  <c r="R510" i="1"/>
  <c r="Q510" i="1"/>
  <c r="M510" i="1"/>
  <c r="T509" i="1"/>
  <c r="U509" i="1" s="1"/>
  <c r="R509" i="1"/>
  <c r="Q509" i="1"/>
  <c r="M509" i="1"/>
  <c r="R508" i="1"/>
  <c r="Q508" i="1"/>
  <c r="M508" i="1"/>
  <c r="T508" i="1" s="1"/>
  <c r="U508" i="1" s="1"/>
  <c r="R507" i="1"/>
  <c r="Q507" i="1"/>
  <c r="M507" i="1" s="1"/>
  <c r="T507" i="1" s="1"/>
  <c r="U507" i="1" s="1"/>
  <c r="R506" i="1"/>
  <c r="Q506" i="1"/>
  <c r="M506" i="1" s="1"/>
  <c r="T506" i="1" s="1"/>
  <c r="U506" i="1" s="1"/>
  <c r="Q505" i="1"/>
  <c r="R505" i="1" s="1"/>
  <c r="U504" i="1"/>
  <c r="Q504" i="1"/>
  <c r="M504" i="1" s="1"/>
  <c r="T504" i="1" s="1"/>
  <c r="Q503" i="1"/>
  <c r="T502" i="1"/>
  <c r="U502" i="1" s="1"/>
  <c r="R502" i="1"/>
  <c r="Q502" i="1"/>
  <c r="M502" i="1"/>
  <c r="T501" i="1"/>
  <c r="U501" i="1" s="1"/>
  <c r="R501" i="1"/>
  <c r="Q501" i="1"/>
  <c r="M501" i="1"/>
  <c r="R500" i="1"/>
  <c r="Q500" i="1"/>
  <c r="M500" i="1"/>
  <c r="T500" i="1" s="1"/>
  <c r="U500" i="1" s="1"/>
  <c r="R499" i="1"/>
  <c r="Q499" i="1"/>
  <c r="M499" i="1" s="1"/>
  <c r="T499" i="1" s="1"/>
  <c r="U499" i="1" s="1"/>
  <c r="R498" i="1"/>
  <c r="Q498" i="1"/>
  <c r="M498" i="1" s="1"/>
  <c r="T498" i="1" s="1"/>
  <c r="U498" i="1" s="1"/>
  <c r="Q497" i="1"/>
  <c r="R497" i="1" s="1"/>
  <c r="Q496" i="1"/>
  <c r="M496" i="1" s="1"/>
  <c r="T496" i="1" s="1"/>
  <c r="U496" i="1" s="1"/>
  <c r="Q495" i="1"/>
  <c r="T494" i="1"/>
  <c r="U494" i="1" s="1"/>
  <c r="R494" i="1"/>
  <c r="Q494" i="1"/>
  <c r="M494" i="1"/>
  <c r="T493" i="1"/>
  <c r="U493" i="1" s="1"/>
  <c r="R493" i="1"/>
  <c r="Q493" i="1"/>
  <c r="M493" i="1"/>
  <c r="R492" i="1"/>
  <c r="Q492" i="1"/>
  <c r="M492" i="1"/>
  <c r="T492" i="1" s="1"/>
  <c r="U492" i="1" s="1"/>
  <c r="R491" i="1"/>
  <c r="Q491" i="1"/>
  <c r="M491" i="1" s="1"/>
  <c r="T491" i="1" s="1"/>
  <c r="U491" i="1" s="1"/>
  <c r="R490" i="1"/>
  <c r="Q490" i="1"/>
  <c r="M490" i="1" s="1"/>
  <c r="T490" i="1" s="1"/>
  <c r="U490" i="1" s="1"/>
  <c r="Q489" i="1"/>
  <c r="R489" i="1" s="1"/>
  <c r="Q488" i="1"/>
  <c r="M488" i="1" s="1"/>
  <c r="T488" i="1" s="1"/>
  <c r="U488" i="1" s="1"/>
  <c r="Q487" i="1"/>
  <c r="T486" i="1"/>
  <c r="U486" i="1" s="1"/>
  <c r="R486" i="1"/>
  <c r="Q486" i="1"/>
  <c r="M486" i="1"/>
  <c r="T485" i="1"/>
  <c r="U485" i="1" s="1"/>
  <c r="R485" i="1"/>
  <c r="Q485" i="1"/>
  <c r="M485" i="1"/>
  <c r="R484" i="1"/>
  <c r="Q484" i="1"/>
  <c r="M484" i="1"/>
  <c r="T484" i="1" s="1"/>
  <c r="U484" i="1" s="1"/>
  <c r="R483" i="1"/>
  <c r="Q483" i="1"/>
  <c r="M483" i="1" s="1"/>
  <c r="T483" i="1" s="1"/>
  <c r="U483" i="1" s="1"/>
  <c r="R482" i="1"/>
  <c r="Q482" i="1"/>
  <c r="M482" i="1" s="1"/>
  <c r="T482" i="1" s="1"/>
  <c r="U482" i="1" s="1"/>
  <c r="Q481" i="1"/>
  <c r="R481" i="1" s="1"/>
  <c r="U480" i="1"/>
  <c r="Q480" i="1"/>
  <c r="M480" i="1" s="1"/>
  <c r="T480" i="1" s="1"/>
  <c r="Q479" i="1"/>
  <c r="T478" i="1"/>
  <c r="U478" i="1" s="1"/>
  <c r="R478" i="1"/>
  <c r="Q478" i="1"/>
  <c r="M478" i="1"/>
  <c r="T477" i="1"/>
  <c r="U477" i="1" s="1"/>
  <c r="R477" i="1"/>
  <c r="Q477" i="1"/>
  <c r="M477" i="1"/>
  <c r="R476" i="1"/>
  <c r="Q476" i="1"/>
  <c r="M476" i="1"/>
  <c r="T476" i="1" s="1"/>
  <c r="U476" i="1" s="1"/>
  <c r="R475" i="1"/>
  <c r="Q475" i="1"/>
  <c r="M475" i="1" s="1"/>
  <c r="T475" i="1" s="1"/>
  <c r="U475" i="1" s="1"/>
  <c r="R474" i="1"/>
  <c r="Q474" i="1"/>
  <c r="M474" i="1" s="1"/>
  <c r="T474" i="1" s="1"/>
  <c r="U474" i="1" s="1"/>
  <c r="Q473" i="1"/>
  <c r="R473" i="1" s="1"/>
  <c r="Q472" i="1"/>
  <c r="M472" i="1" s="1"/>
  <c r="T472" i="1" s="1"/>
  <c r="U472" i="1" s="1"/>
  <c r="Q471" i="1"/>
  <c r="T470" i="1"/>
  <c r="U470" i="1" s="1"/>
  <c r="R470" i="1"/>
  <c r="Q470" i="1"/>
  <c r="M470" i="1"/>
  <c r="T469" i="1"/>
  <c r="U469" i="1" s="1"/>
  <c r="R469" i="1"/>
  <c r="Q469" i="1"/>
  <c r="M469" i="1"/>
  <c r="R468" i="1"/>
  <c r="Q468" i="1"/>
  <c r="M468" i="1"/>
  <c r="T468" i="1" s="1"/>
  <c r="U468" i="1" s="1"/>
  <c r="R467" i="1"/>
  <c r="Q467" i="1"/>
  <c r="M467" i="1" s="1"/>
  <c r="T467" i="1" s="1"/>
  <c r="U467" i="1" s="1"/>
  <c r="R466" i="1"/>
  <c r="Q466" i="1"/>
  <c r="S465" i="1"/>
  <c r="S464" i="1" s="1"/>
  <c r="P465" i="1"/>
  <c r="P464" i="1" s="1"/>
  <c r="O465" i="1"/>
  <c r="N465" i="1"/>
  <c r="N464" i="1" s="1"/>
  <c r="L465" i="1"/>
  <c r="D41" i="2" s="1"/>
  <c r="D40" i="2" s="1"/>
  <c r="K465" i="1"/>
  <c r="K464" i="1" s="1"/>
  <c r="J465" i="1"/>
  <c r="J464" i="1" s="1"/>
  <c r="I465" i="1"/>
  <c r="C41" i="2" s="1"/>
  <c r="C40" i="2" s="1"/>
  <c r="O464" i="1"/>
  <c r="L464" i="1"/>
  <c r="I464" i="1"/>
  <c r="R462" i="1"/>
  <c r="Q462" i="1"/>
  <c r="M462" i="1"/>
  <c r="T462" i="1" s="1"/>
  <c r="U462" i="1" s="1"/>
  <c r="S460" i="1"/>
  <c r="P460" i="1"/>
  <c r="O460" i="1"/>
  <c r="N460" i="1"/>
  <c r="L460" i="1"/>
  <c r="D38" i="2" s="1"/>
  <c r="K460" i="1"/>
  <c r="J460" i="1"/>
  <c r="I460" i="1"/>
  <c r="C38" i="2" s="1"/>
  <c r="R459" i="1"/>
  <c r="Q459" i="1"/>
  <c r="M459" i="1"/>
  <c r="T459" i="1" s="1"/>
  <c r="U459" i="1" s="1"/>
  <c r="R458" i="1"/>
  <c r="Q458" i="1"/>
  <c r="M458" i="1" s="1"/>
  <c r="T458" i="1" s="1"/>
  <c r="U458" i="1" s="1"/>
  <c r="Q457" i="1"/>
  <c r="M457" i="1" s="1"/>
  <c r="S456" i="1"/>
  <c r="P456" i="1"/>
  <c r="P419" i="1" s="1"/>
  <c r="O456" i="1"/>
  <c r="N456" i="1"/>
  <c r="L456" i="1"/>
  <c r="D37" i="2" s="1"/>
  <c r="K456" i="1"/>
  <c r="J456" i="1"/>
  <c r="I456" i="1"/>
  <c r="C37" i="2" s="1"/>
  <c r="Q455" i="1"/>
  <c r="M455" i="1" s="1"/>
  <c r="T455" i="1" s="1"/>
  <c r="U455" i="1" s="1"/>
  <c r="Q454" i="1"/>
  <c r="Q453" i="1"/>
  <c r="R453" i="1" s="1"/>
  <c r="T452" i="1"/>
  <c r="U452" i="1" s="1"/>
  <c r="Q452" i="1"/>
  <c r="R452" i="1" s="1"/>
  <c r="M452" i="1"/>
  <c r="R451" i="1"/>
  <c r="Q451" i="1"/>
  <c r="M451" i="1"/>
  <c r="T451" i="1" s="1"/>
  <c r="U451" i="1" s="1"/>
  <c r="K451" i="1"/>
  <c r="Q450" i="1"/>
  <c r="R450" i="1" s="1"/>
  <c r="T449" i="1"/>
  <c r="U449" i="1" s="1"/>
  <c r="Q449" i="1"/>
  <c r="R449" i="1" s="1"/>
  <c r="M449" i="1"/>
  <c r="R448" i="1"/>
  <c r="Q448" i="1"/>
  <c r="M448" i="1"/>
  <c r="T448" i="1" s="1"/>
  <c r="U448" i="1" s="1"/>
  <c r="R447" i="1"/>
  <c r="Q447" i="1"/>
  <c r="M447" i="1"/>
  <c r="T447" i="1" s="1"/>
  <c r="U447" i="1" s="1"/>
  <c r="R446" i="1"/>
  <c r="Q446" i="1"/>
  <c r="M446" i="1"/>
  <c r="T446" i="1" s="1"/>
  <c r="U446" i="1" s="1"/>
  <c r="R445" i="1"/>
  <c r="Q445" i="1"/>
  <c r="M445" i="1" s="1"/>
  <c r="T445" i="1" s="1"/>
  <c r="U445" i="1" s="1"/>
  <c r="Q444" i="1"/>
  <c r="M444" i="1" s="1"/>
  <c r="T444" i="1" s="1"/>
  <c r="U444" i="1" s="1"/>
  <c r="Q443" i="1"/>
  <c r="Q442" i="1"/>
  <c r="R442" i="1" s="1"/>
  <c r="T441" i="1"/>
  <c r="U441" i="1" s="1"/>
  <c r="Q441" i="1"/>
  <c r="R441" i="1" s="1"/>
  <c r="M441" i="1"/>
  <c r="R440" i="1"/>
  <c r="Q440" i="1"/>
  <c r="M440" i="1"/>
  <c r="R439" i="1"/>
  <c r="Q439" i="1"/>
  <c r="M439" i="1"/>
  <c r="T439" i="1" s="1"/>
  <c r="U439" i="1" s="1"/>
  <c r="K439" i="1"/>
  <c r="K438" i="1" s="1"/>
  <c r="K419" i="1" s="1"/>
  <c r="S438" i="1"/>
  <c r="P438" i="1"/>
  <c r="O438" i="1"/>
  <c r="N438" i="1"/>
  <c r="L438" i="1"/>
  <c r="D36" i="2" s="1"/>
  <c r="J438" i="1"/>
  <c r="I438" i="1"/>
  <c r="C36" i="2" s="1"/>
  <c r="Q437" i="1"/>
  <c r="R437" i="1" s="1"/>
  <c r="T436" i="1"/>
  <c r="U436" i="1" s="1"/>
  <c r="Q436" i="1"/>
  <c r="R436" i="1" s="1"/>
  <c r="M436" i="1"/>
  <c r="R435" i="1"/>
  <c r="Q435" i="1"/>
  <c r="M435" i="1"/>
  <c r="T435" i="1" s="1"/>
  <c r="U435" i="1" s="1"/>
  <c r="R434" i="1"/>
  <c r="Q434" i="1"/>
  <c r="M434" i="1"/>
  <c r="T434" i="1" s="1"/>
  <c r="U434" i="1" s="1"/>
  <c r="R433" i="1"/>
  <c r="Q433" i="1"/>
  <c r="M433" i="1"/>
  <c r="T433" i="1" s="1"/>
  <c r="U433" i="1" s="1"/>
  <c r="R432" i="1"/>
  <c r="Q432" i="1"/>
  <c r="M432" i="1" s="1"/>
  <c r="T432" i="1" s="1"/>
  <c r="U432" i="1" s="1"/>
  <c r="U431" i="1"/>
  <c r="Q431" i="1"/>
  <c r="M431" i="1" s="1"/>
  <c r="T431" i="1" s="1"/>
  <c r="Q430" i="1"/>
  <c r="Q429" i="1"/>
  <c r="R429" i="1" s="1"/>
  <c r="T428" i="1"/>
  <c r="U428" i="1" s="1"/>
  <c r="Q428" i="1"/>
  <c r="R428" i="1" s="1"/>
  <c r="M428" i="1"/>
  <c r="R427" i="1"/>
  <c r="Q427" i="1"/>
  <c r="M427" i="1"/>
  <c r="T427" i="1" s="1"/>
  <c r="U427" i="1" s="1"/>
  <c r="R426" i="1"/>
  <c r="Q426" i="1"/>
  <c r="M426" i="1"/>
  <c r="T426" i="1" s="1"/>
  <c r="U426" i="1" s="1"/>
  <c r="R425" i="1"/>
  <c r="Q425" i="1"/>
  <c r="M425" i="1"/>
  <c r="T425" i="1" s="1"/>
  <c r="U425" i="1" s="1"/>
  <c r="R424" i="1"/>
  <c r="Q424" i="1"/>
  <c r="M424" i="1" s="1"/>
  <c r="T424" i="1" s="1"/>
  <c r="U424" i="1" s="1"/>
  <c r="U423" i="1"/>
  <c r="Q423" i="1"/>
  <c r="M423" i="1" s="1"/>
  <c r="T423" i="1" s="1"/>
  <c r="Q421" i="1"/>
  <c r="R421" i="1" s="1"/>
  <c r="S420" i="1"/>
  <c r="P420" i="1"/>
  <c r="O420" i="1"/>
  <c r="O419" i="1" s="1"/>
  <c r="N420" i="1"/>
  <c r="L420" i="1"/>
  <c r="D35" i="2" s="1"/>
  <c r="D34" i="2" s="1"/>
  <c r="K420" i="1"/>
  <c r="J420" i="1"/>
  <c r="J419" i="1" s="1"/>
  <c r="I420" i="1"/>
  <c r="C35" i="2" s="1"/>
  <c r="C34" i="2" s="1"/>
  <c r="S419" i="1"/>
  <c r="I419" i="1"/>
  <c r="Q418" i="1"/>
  <c r="T417" i="1"/>
  <c r="U417" i="1" s="1"/>
  <c r="Q417" i="1"/>
  <c r="R417" i="1" s="1"/>
  <c r="M417" i="1"/>
  <c r="Q416" i="1"/>
  <c r="R416" i="1" s="1"/>
  <c r="M416" i="1"/>
  <c r="T416" i="1" s="1"/>
  <c r="U416" i="1" s="1"/>
  <c r="Q415" i="1"/>
  <c r="R415" i="1" s="1"/>
  <c r="M415" i="1"/>
  <c r="T414" i="1"/>
  <c r="U414" i="1" s="1"/>
  <c r="Q414" i="1"/>
  <c r="R414" i="1" s="1"/>
  <c r="M414" i="1"/>
  <c r="R413" i="1"/>
  <c r="Q413" i="1"/>
  <c r="M413" i="1"/>
  <c r="T413" i="1" s="1"/>
  <c r="U413" i="1" s="1"/>
  <c r="R412" i="1"/>
  <c r="Q412" i="1"/>
  <c r="M412" i="1"/>
  <c r="T412" i="1" s="1"/>
  <c r="U412" i="1" s="1"/>
  <c r="Q410" i="1"/>
  <c r="R410" i="1" s="1"/>
  <c r="Q409" i="1"/>
  <c r="Q408" i="1"/>
  <c r="S407" i="1"/>
  <c r="P407" i="1"/>
  <c r="O407" i="1"/>
  <c r="N407" i="1"/>
  <c r="L407" i="1"/>
  <c r="D33" i="2" s="1"/>
  <c r="K407" i="1"/>
  <c r="J407" i="1"/>
  <c r="I407" i="1"/>
  <c r="C33" i="2" s="1"/>
  <c r="Q406" i="1"/>
  <c r="Q405" i="1"/>
  <c r="R405" i="1" s="1"/>
  <c r="M405" i="1"/>
  <c r="T405" i="1" s="1"/>
  <c r="U405" i="1" s="1"/>
  <c r="T404" i="1"/>
  <c r="U404" i="1" s="1"/>
  <c r="Q404" i="1"/>
  <c r="R404" i="1" s="1"/>
  <c r="M404" i="1"/>
  <c r="S402" i="1"/>
  <c r="P402" i="1"/>
  <c r="O402" i="1"/>
  <c r="N402" i="1"/>
  <c r="L402" i="1"/>
  <c r="D32" i="2" s="1"/>
  <c r="K402" i="1"/>
  <c r="J402" i="1"/>
  <c r="I402" i="1"/>
  <c r="C32" i="2" s="1"/>
  <c r="R401" i="1"/>
  <c r="Q401" i="1"/>
  <c r="M401" i="1"/>
  <c r="T401" i="1" s="1"/>
  <c r="U401" i="1" s="1"/>
  <c r="R400" i="1"/>
  <c r="Q400" i="1"/>
  <c r="M400" i="1" s="1"/>
  <c r="T400" i="1" s="1"/>
  <c r="U400" i="1" s="1"/>
  <c r="T398" i="1"/>
  <c r="U398" i="1" s="1"/>
  <c r="R398" i="1"/>
  <c r="Q398" i="1"/>
  <c r="M398" i="1"/>
  <c r="Q397" i="1"/>
  <c r="R397" i="1" s="1"/>
  <c r="M397" i="1"/>
  <c r="T397" i="1" s="1"/>
  <c r="U397" i="1" s="1"/>
  <c r="R396" i="1"/>
  <c r="Q396" i="1"/>
  <c r="M396" i="1"/>
  <c r="T396" i="1" s="1"/>
  <c r="U396" i="1" s="1"/>
  <c r="S395" i="1"/>
  <c r="P395" i="1"/>
  <c r="O395" i="1"/>
  <c r="N395" i="1"/>
  <c r="L395" i="1"/>
  <c r="D31" i="2" s="1"/>
  <c r="K395" i="1"/>
  <c r="J395" i="1"/>
  <c r="I395" i="1"/>
  <c r="C31" i="2" s="1"/>
  <c r="R394" i="1"/>
  <c r="Q394" i="1"/>
  <c r="M394" i="1"/>
  <c r="T394" i="1" s="1"/>
  <c r="U394" i="1" s="1"/>
  <c r="R393" i="1"/>
  <c r="Q393" i="1"/>
  <c r="M393" i="1" s="1"/>
  <c r="T393" i="1" s="1"/>
  <c r="U393" i="1" s="1"/>
  <c r="R392" i="1"/>
  <c r="Q392" i="1"/>
  <c r="M392" i="1"/>
  <c r="T392" i="1" s="1"/>
  <c r="U392" i="1" s="1"/>
  <c r="Q390" i="1"/>
  <c r="S389" i="1"/>
  <c r="P389" i="1"/>
  <c r="O389" i="1"/>
  <c r="N389" i="1"/>
  <c r="L389" i="1"/>
  <c r="D30" i="2" s="1"/>
  <c r="K389" i="1"/>
  <c r="J389" i="1"/>
  <c r="I389" i="1"/>
  <c r="C30" i="2" s="1"/>
  <c r="Q388" i="1"/>
  <c r="R388" i="1" s="1"/>
  <c r="Q387" i="1"/>
  <c r="R387" i="1" s="1"/>
  <c r="R386" i="1" s="1"/>
  <c r="S386" i="1"/>
  <c r="P386" i="1"/>
  <c r="O386" i="1"/>
  <c r="N386" i="1"/>
  <c r="L386" i="1"/>
  <c r="D29" i="2" s="1"/>
  <c r="K386" i="1"/>
  <c r="J386" i="1"/>
  <c r="I386" i="1"/>
  <c r="C29" i="2" s="1"/>
  <c r="Q385" i="1"/>
  <c r="R385" i="1" s="1"/>
  <c r="T384" i="1"/>
  <c r="U384" i="1" s="1"/>
  <c r="R384" i="1"/>
  <c r="Q384" i="1"/>
  <c r="M384" i="1"/>
  <c r="Q383" i="1"/>
  <c r="Q380" i="1" s="1"/>
  <c r="M383" i="1"/>
  <c r="T383" i="1" s="1"/>
  <c r="U383" i="1" s="1"/>
  <c r="R382" i="1"/>
  <c r="Q382" i="1"/>
  <c r="M382" i="1"/>
  <c r="T382" i="1" s="1"/>
  <c r="U382" i="1" s="1"/>
  <c r="R381" i="1"/>
  <c r="Q381" i="1"/>
  <c r="M381" i="1" s="1"/>
  <c r="S380" i="1"/>
  <c r="P380" i="1"/>
  <c r="O380" i="1"/>
  <c r="N380" i="1"/>
  <c r="L380" i="1"/>
  <c r="D28" i="2" s="1"/>
  <c r="K380" i="1"/>
  <c r="J380" i="1"/>
  <c r="I380" i="1"/>
  <c r="C28" i="2" s="1"/>
  <c r="R379" i="1"/>
  <c r="Q379" i="1"/>
  <c r="M379" i="1" s="1"/>
  <c r="T379" i="1" s="1"/>
  <c r="U379" i="1" s="1"/>
  <c r="R378" i="1"/>
  <c r="Q378" i="1"/>
  <c r="M378" i="1"/>
  <c r="T378" i="1" s="1"/>
  <c r="U378" i="1" s="1"/>
  <c r="Q377" i="1"/>
  <c r="R377" i="1" s="1"/>
  <c r="Q376" i="1"/>
  <c r="R376" i="1" s="1"/>
  <c r="Q375" i="1"/>
  <c r="R375" i="1" s="1"/>
  <c r="T374" i="1"/>
  <c r="U374" i="1" s="1"/>
  <c r="R374" i="1"/>
  <c r="Q374" i="1"/>
  <c r="M374" i="1"/>
  <c r="Q373" i="1"/>
  <c r="R373" i="1" s="1"/>
  <c r="M373" i="1"/>
  <c r="T373" i="1" s="1"/>
  <c r="U373" i="1" s="1"/>
  <c r="R371" i="1"/>
  <c r="Q371" i="1"/>
  <c r="M371" i="1" s="1"/>
  <c r="S370" i="1"/>
  <c r="P370" i="1"/>
  <c r="O370" i="1"/>
  <c r="N370" i="1"/>
  <c r="L370" i="1"/>
  <c r="D27" i="2" s="1"/>
  <c r="K370" i="1"/>
  <c r="J370" i="1"/>
  <c r="I370" i="1"/>
  <c r="C27" i="2" s="1"/>
  <c r="R369" i="1"/>
  <c r="Q369" i="1"/>
  <c r="M369" i="1" s="1"/>
  <c r="T369" i="1" s="1"/>
  <c r="U369" i="1" s="1"/>
  <c r="R368" i="1"/>
  <c r="Q368" i="1"/>
  <c r="M368" i="1"/>
  <c r="T368" i="1" s="1"/>
  <c r="U368" i="1" s="1"/>
  <c r="Q367" i="1"/>
  <c r="R367" i="1" s="1"/>
  <c r="Q366" i="1"/>
  <c r="R366" i="1" s="1"/>
  <c r="Q365" i="1"/>
  <c r="R365" i="1" s="1"/>
  <c r="T364" i="1"/>
  <c r="U364" i="1" s="1"/>
  <c r="R364" i="1"/>
  <c r="Q364" i="1"/>
  <c r="M364" i="1"/>
  <c r="Q363" i="1"/>
  <c r="R363" i="1" s="1"/>
  <c r="M363" i="1"/>
  <c r="T363" i="1" s="1"/>
  <c r="U363" i="1" s="1"/>
  <c r="Q362" i="1"/>
  <c r="R362" i="1" s="1"/>
  <c r="M362" i="1"/>
  <c r="T362" i="1" s="1"/>
  <c r="U362" i="1" s="1"/>
  <c r="R361" i="1"/>
  <c r="Q361" i="1"/>
  <c r="M361" i="1" s="1"/>
  <c r="T361" i="1" s="1"/>
  <c r="U361" i="1" s="1"/>
  <c r="S359" i="1"/>
  <c r="P359" i="1"/>
  <c r="O359" i="1"/>
  <c r="N359" i="1"/>
  <c r="L359" i="1"/>
  <c r="D26" i="2" s="1"/>
  <c r="K359" i="1"/>
  <c r="J359" i="1"/>
  <c r="I359" i="1"/>
  <c r="C26" i="2" s="1"/>
  <c r="R358" i="1"/>
  <c r="Q358" i="1"/>
  <c r="M358" i="1"/>
  <c r="T358" i="1" s="1"/>
  <c r="U358" i="1" s="1"/>
  <c r="U357" i="1"/>
  <c r="T357" i="1"/>
  <c r="R357" i="1"/>
  <c r="Q357" i="1"/>
  <c r="M357" i="1"/>
  <c r="Q356" i="1"/>
  <c r="R356" i="1" s="1"/>
  <c r="Q355" i="1"/>
  <c r="R355" i="1" s="1"/>
  <c r="R354" i="1"/>
  <c r="Q354" i="1"/>
  <c r="M354" i="1" s="1"/>
  <c r="T354" i="1" s="1"/>
  <c r="U354" i="1" s="1"/>
  <c r="Q353" i="1"/>
  <c r="R353" i="1" s="1"/>
  <c r="M353" i="1"/>
  <c r="T353" i="1" s="1"/>
  <c r="U353" i="1" s="1"/>
  <c r="Q352" i="1"/>
  <c r="R352" i="1" s="1"/>
  <c r="M352" i="1"/>
  <c r="T352" i="1" s="1"/>
  <c r="U352" i="1" s="1"/>
  <c r="R351" i="1"/>
  <c r="Q351" i="1"/>
  <c r="M351" i="1" s="1"/>
  <c r="T351" i="1" s="1"/>
  <c r="U351" i="1" s="1"/>
  <c r="R350" i="1"/>
  <c r="Q350" i="1"/>
  <c r="M350" i="1"/>
  <c r="T350" i="1" s="1"/>
  <c r="U350" i="1" s="1"/>
  <c r="U349" i="1"/>
  <c r="T349" i="1"/>
  <c r="R349" i="1"/>
  <c r="Q349" i="1"/>
  <c r="M349" i="1"/>
  <c r="Q348" i="1"/>
  <c r="R348" i="1" s="1"/>
  <c r="Q347" i="1"/>
  <c r="R347" i="1" s="1"/>
  <c r="R346" i="1"/>
  <c r="Q346" i="1"/>
  <c r="M346" i="1" s="1"/>
  <c r="T346" i="1" s="1"/>
  <c r="U346" i="1" s="1"/>
  <c r="Q345" i="1"/>
  <c r="Q344" i="1" s="1"/>
  <c r="M345" i="1"/>
  <c r="T345" i="1" s="1"/>
  <c r="U345" i="1" s="1"/>
  <c r="S344" i="1"/>
  <c r="P344" i="1"/>
  <c r="O344" i="1"/>
  <c r="N344" i="1"/>
  <c r="L344" i="1"/>
  <c r="D25" i="2" s="1"/>
  <c r="K344" i="1"/>
  <c r="J344" i="1"/>
  <c r="I344" i="1"/>
  <c r="C25" i="2" s="1"/>
  <c r="Q343" i="1"/>
  <c r="R343" i="1" s="1"/>
  <c r="M343" i="1"/>
  <c r="T343" i="1" s="1"/>
  <c r="U343" i="1" s="1"/>
  <c r="R342" i="1"/>
  <c r="Q342" i="1"/>
  <c r="M342" i="1"/>
  <c r="T342" i="1" s="1"/>
  <c r="U342" i="1" s="1"/>
  <c r="R341" i="1"/>
  <c r="Q341" i="1"/>
  <c r="M341" i="1" s="1"/>
  <c r="T341" i="1" s="1"/>
  <c r="U341" i="1" s="1"/>
  <c r="R339" i="1"/>
  <c r="Q339" i="1"/>
  <c r="M339" i="1" s="1"/>
  <c r="S338" i="1"/>
  <c r="P338" i="1"/>
  <c r="O338" i="1"/>
  <c r="N338" i="1"/>
  <c r="L338" i="1"/>
  <c r="D24" i="2" s="1"/>
  <c r="K338" i="1"/>
  <c r="J338" i="1"/>
  <c r="I338" i="1"/>
  <c r="C24" i="2" s="1"/>
  <c r="R337" i="1"/>
  <c r="Q337" i="1"/>
  <c r="M337" i="1" s="1"/>
  <c r="T337" i="1" s="1"/>
  <c r="U337" i="1" s="1"/>
  <c r="Q336" i="1"/>
  <c r="R336" i="1" s="1"/>
  <c r="Q335" i="1"/>
  <c r="R335" i="1" s="1"/>
  <c r="Q334" i="1"/>
  <c r="M334" i="1" s="1"/>
  <c r="T334" i="1" s="1"/>
  <c r="U334" i="1" s="1"/>
  <c r="Q333" i="1"/>
  <c r="R333" i="1" s="1"/>
  <c r="M333" i="1"/>
  <c r="T333" i="1" s="1"/>
  <c r="U333" i="1" s="1"/>
  <c r="Q332" i="1"/>
  <c r="R332" i="1" s="1"/>
  <c r="M332" i="1"/>
  <c r="T332" i="1" s="1"/>
  <c r="U332" i="1" s="1"/>
  <c r="T331" i="1"/>
  <c r="U331" i="1" s="1"/>
  <c r="R331" i="1"/>
  <c r="Q331" i="1"/>
  <c r="M331" i="1"/>
  <c r="R330" i="1"/>
  <c r="Q330" i="1"/>
  <c r="M330" i="1"/>
  <c r="T330" i="1" s="1"/>
  <c r="U330" i="1" s="1"/>
  <c r="Q328" i="1"/>
  <c r="R328" i="1" s="1"/>
  <c r="Q327" i="1"/>
  <c r="R327" i="1" s="1"/>
  <c r="Q326" i="1"/>
  <c r="M326" i="1" s="1"/>
  <c r="T326" i="1" s="1"/>
  <c r="U326" i="1" s="1"/>
  <c r="S324" i="1"/>
  <c r="P324" i="1"/>
  <c r="O324" i="1"/>
  <c r="N324" i="1"/>
  <c r="L324" i="1"/>
  <c r="D23" i="2" s="1"/>
  <c r="K324" i="1"/>
  <c r="J324" i="1"/>
  <c r="I324" i="1"/>
  <c r="C23" i="2" s="1"/>
  <c r="Q323" i="1"/>
  <c r="R323" i="1" s="1"/>
  <c r="M323" i="1"/>
  <c r="T323" i="1" s="1"/>
  <c r="U323" i="1" s="1"/>
  <c r="T321" i="1"/>
  <c r="U321" i="1" s="1"/>
  <c r="R321" i="1"/>
  <c r="Q321" i="1"/>
  <c r="M321" i="1"/>
  <c r="R320" i="1"/>
  <c r="Q320" i="1"/>
  <c r="M320" i="1"/>
  <c r="T320" i="1" s="1"/>
  <c r="U320" i="1" s="1"/>
  <c r="S318" i="1"/>
  <c r="P318" i="1"/>
  <c r="O318" i="1"/>
  <c r="N318" i="1"/>
  <c r="L318" i="1"/>
  <c r="D22" i="2" s="1"/>
  <c r="K318" i="1"/>
  <c r="J318" i="1"/>
  <c r="I318" i="1"/>
  <c r="C22" i="2" s="1"/>
  <c r="R317" i="1"/>
  <c r="Q317" i="1"/>
  <c r="M317" i="1"/>
  <c r="T317" i="1" s="1"/>
  <c r="U317" i="1" s="1"/>
  <c r="Q316" i="1"/>
  <c r="Q315" i="1" s="1"/>
  <c r="S315" i="1"/>
  <c r="P315" i="1"/>
  <c r="O315" i="1"/>
  <c r="N315" i="1"/>
  <c r="L315" i="1"/>
  <c r="D21" i="2" s="1"/>
  <c r="K315" i="1"/>
  <c r="J315" i="1"/>
  <c r="I315" i="1"/>
  <c r="C21" i="2" s="1"/>
  <c r="Q314" i="1"/>
  <c r="R314" i="1" s="1"/>
  <c r="Q313" i="1"/>
  <c r="R313" i="1" s="1"/>
  <c r="R312" i="1" s="1"/>
  <c r="S312" i="1"/>
  <c r="P312" i="1"/>
  <c r="O312" i="1"/>
  <c r="N312" i="1"/>
  <c r="L312" i="1"/>
  <c r="D20" i="2" s="1"/>
  <c r="K312" i="1"/>
  <c r="J312" i="1"/>
  <c r="I312" i="1"/>
  <c r="C20" i="2" s="1"/>
  <c r="Q311" i="1"/>
  <c r="R311" i="1" s="1"/>
  <c r="M311" i="1"/>
  <c r="T311" i="1" s="1"/>
  <c r="R310" i="1"/>
  <c r="Q310" i="1"/>
  <c r="M310" i="1" s="1"/>
  <c r="T310" i="1" s="1"/>
  <c r="U310" i="1" s="1"/>
  <c r="R309" i="1"/>
  <c r="Q309" i="1"/>
  <c r="M309" i="1"/>
  <c r="T309" i="1" s="1"/>
  <c r="U309" i="1" s="1"/>
  <c r="R308" i="1"/>
  <c r="Q308" i="1"/>
  <c r="M308" i="1" s="1"/>
  <c r="T308" i="1" s="1"/>
  <c r="R307" i="1"/>
  <c r="Q307" i="1"/>
  <c r="M307" i="1"/>
  <c r="T307" i="1" s="1"/>
  <c r="R306" i="1"/>
  <c r="Q306" i="1"/>
  <c r="M306" i="1" s="1"/>
  <c r="T306" i="1" s="1"/>
  <c r="K306" i="1"/>
  <c r="Q305" i="1"/>
  <c r="R305" i="1" s="1"/>
  <c r="M305" i="1"/>
  <c r="T305" i="1" s="1"/>
  <c r="K305" i="1"/>
  <c r="Q304" i="1"/>
  <c r="R304" i="1" s="1"/>
  <c r="M304" i="1"/>
  <c r="T304" i="1" s="1"/>
  <c r="K304" i="1"/>
  <c r="R303" i="1"/>
  <c r="Q303" i="1"/>
  <c r="M303" i="1" s="1"/>
  <c r="T303" i="1" s="1"/>
  <c r="K303" i="1"/>
  <c r="R302" i="1"/>
  <c r="Q302" i="1"/>
  <c r="M302" i="1"/>
  <c r="T302" i="1" s="1"/>
  <c r="K302" i="1"/>
  <c r="T301" i="1"/>
  <c r="R301" i="1"/>
  <c r="Q301" i="1"/>
  <c r="M301" i="1"/>
  <c r="K301" i="1"/>
  <c r="Q300" i="1"/>
  <c r="R300" i="1" s="1"/>
  <c r="K300" i="1"/>
  <c r="Q299" i="1"/>
  <c r="R299" i="1" s="1"/>
  <c r="K299" i="1"/>
  <c r="R298" i="1"/>
  <c r="Q298" i="1"/>
  <c r="M298" i="1" s="1"/>
  <c r="T298" i="1" s="1"/>
  <c r="K298" i="1"/>
  <c r="Q297" i="1"/>
  <c r="R297" i="1" s="1"/>
  <c r="M297" i="1"/>
  <c r="T296" i="1"/>
  <c r="R296" i="1"/>
  <c r="Q296" i="1"/>
  <c r="M296" i="1"/>
  <c r="K296" i="1"/>
  <c r="K295" i="1" s="1"/>
  <c r="S295" i="1"/>
  <c r="Q295" i="1"/>
  <c r="P295" i="1"/>
  <c r="O295" i="1"/>
  <c r="N295" i="1"/>
  <c r="L295" i="1"/>
  <c r="D19" i="2" s="1"/>
  <c r="J295" i="1"/>
  <c r="I295" i="1"/>
  <c r="C19" i="2" s="1"/>
  <c r="Q294" i="1"/>
  <c r="R294" i="1" s="1"/>
  <c r="M294" i="1"/>
  <c r="T294" i="1" s="1"/>
  <c r="U294" i="1" s="1"/>
  <c r="R293" i="1"/>
  <c r="Q293" i="1"/>
  <c r="M293" i="1" s="1"/>
  <c r="T293" i="1" s="1"/>
  <c r="U293" i="1" s="1"/>
  <c r="R292" i="1"/>
  <c r="Q292" i="1"/>
  <c r="M292" i="1"/>
  <c r="T292" i="1" s="1"/>
  <c r="U292" i="1" s="1"/>
  <c r="U291" i="1"/>
  <c r="T291" i="1"/>
  <c r="R291" i="1"/>
  <c r="Q291" i="1"/>
  <c r="M291" i="1"/>
  <c r="Q290" i="1"/>
  <c r="R290" i="1" s="1"/>
  <c r="Q289" i="1"/>
  <c r="R289" i="1" s="1"/>
  <c r="R288" i="1"/>
  <c r="Q288" i="1"/>
  <c r="M288" i="1" s="1"/>
  <c r="T288" i="1" s="1"/>
  <c r="U288" i="1" s="1"/>
  <c r="Q287" i="1"/>
  <c r="R287" i="1" s="1"/>
  <c r="M287" i="1"/>
  <c r="T287" i="1" s="1"/>
  <c r="U287" i="1" s="1"/>
  <c r="Q286" i="1"/>
  <c r="R286" i="1" s="1"/>
  <c r="M286" i="1"/>
  <c r="T286" i="1" s="1"/>
  <c r="U286" i="1" s="1"/>
  <c r="R285" i="1"/>
  <c r="Q285" i="1"/>
  <c r="M285" i="1" s="1"/>
  <c r="T285" i="1" s="1"/>
  <c r="U285" i="1" s="1"/>
  <c r="R284" i="1"/>
  <c r="Q284" i="1"/>
  <c r="M284" i="1"/>
  <c r="T284" i="1" s="1"/>
  <c r="U284" i="1" s="1"/>
  <c r="U283" i="1"/>
  <c r="T283" i="1"/>
  <c r="R283" i="1"/>
  <c r="Q283" i="1"/>
  <c r="M283" i="1"/>
  <c r="Q282" i="1"/>
  <c r="R282" i="1" s="1"/>
  <c r="Q281" i="1"/>
  <c r="R281" i="1" s="1"/>
  <c r="R280" i="1"/>
  <c r="Q280" i="1"/>
  <c r="M280" i="1" s="1"/>
  <c r="S279" i="1"/>
  <c r="P279" i="1"/>
  <c r="O279" i="1"/>
  <c r="N279" i="1"/>
  <c r="L279" i="1"/>
  <c r="D18" i="2" s="1"/>
  <c r="K279" i="1"/>
  <c r="J279" i="1"/>
  <c r="I279" i="1"/>
  <c r="C18" i="2" s="1"/>
  <c r="R278" i="1"/>
  <c r="Q278" i="1"/>
  <c r="M278" i="1" s="1"/>
  <c r="T278" i="1" s="1"/>
  <c r="U278" i="1" s="1"/>
  <c r="Q277" i="1"/>
  <c r="Q276" i="1" s="1"/>
  <c r="M277" i="1"/>
  <c r="T277" i="1" s="1"/>
  <c r="U277" i="1" s="1"/>
  <c r="S276" i="1"/>
  <c r="P276" i="1"/>
  <c r="O276" i="1"/>
  <c r="N276" i="1"/>
  <c r="L276" i="1"/>
  <c r="D17" i="2" s="1"/>
  <c r="K276" i="1"/>
  <c r="J276" i="1"/>
  <c r="I276" i="1"/>
  <c r="C17" i="2" s="1"/>
  <c r="Q275" i="1"/>
  <c r="R275" i="1" s="1"/>
  <c r="M275" i="1"/>
  <c r="T275" i="1" s="1"/>
  <c r="U275" i="1" s="1"/>
  <c r="Q274" i="1"/>
  <c r="R274" i="1" s="1"/>
  <c r="M274" i="1"/>
  <c r="T274" i="1" s="1"/>
  <c r="U274" i="1" s="1"/>
  <c r="R273" i="1"/>
  <c r="Q273" i="1"/>
  <c r="M273" i="1" s="1"/>
  <c r="T273" i="1" s="1"/>
  <c r="U273" i="1" s="1"/>
  <c r="R272" i="1"/>
  <c r="Q272" i="1"/>
  <c r="M272" i="1"/>
  <c r="T272" i="1" s="1"/>
  <c r="U272" i="1" s="1"/>
  <c r="U271" i="1"/>
  <c r="T271" i="1"/>
  <c r="R271" i="1"/>
  <c r="Q271" i="1"/>
  <c r="M271" i="1"/>
  <c r="Q270" i="1"/>
  <c r="R270" i="1" s="1"/>
  <c r="Q269" i="1"/>
  <c r="R269" i="1" s="1"/>
  <c r="S268" i="1"/>
  <c r="P268" i="1"/>
  <c r="O268" i="1"/>
  <c r="N268" i="1"/>
  <c r="L268" i="1"/>
  <c r="D16" i="2" s="1"/>
  <c r="K268" i="1"/>
  <c r="J268" i="1"/>
  <c r="I268" i="1"/>
  <c r="C16" i="2" s="1"/>
  <c r="Q267" i="1"/>
  <c r="R267" i="1" s="1"/>
  <c r="R266" i="1" s="1"/>
  <c r="S266" i="1"/>
  <c r="Q266" i="1"/>
  <c r="P266" i="1"/>
  <c r="O266" i="1"/>
  <c r="N266" i="1"/>
  <c r="L266" i="1"/>
  <c r="D15" i="2" s="1"/>
  <c r="K266" i="1"/>
  <c r="J266" i="1"/>
  <c r="I266" i="1"/>
  <c r="C15" i="2" s="1"/>
  <c r="R264" i="1"/>
  <c r="Q264" i="1"/>
  <c r="M264" i="1" s="1"/>
  <c r="T264" i="1" s="1"/>
  <c r="U264" i="1" s="1"/>
  <c r="Q263" i="1"/>
  <c r="R263" i="1" s="1"/>
  <c r="M263" i="1"/>
  <c r="U263" i="1" s="1"/>
  <c r="Q262" i="1"/>
  <c r="R262" i="1" s="1"/>
  <c r="M262" i="1"/>
  <c r="T262" i="1" s="1"/>
  <c r="U262" i="1" s="1"/>
  <c r="R261" i="1"/>
  <c r="Q261" i="1"/>
  <c r="M261" i="1" s="1"/>
  <c r="T261" i="1" s="1"/>
  <c r="U261" i="1" s="1"/>
  <c r="R260" i="1"/>
  <c r="Q260" i="1"/>
  <c r="M260" i="1"/>
  <c r="T260" i="1" s="1"/>
  <c r="U260" i="1" s="1"/>
  <c r="U259" i="1"/>
  <c r="T259" i="1"/>
  <c r="R259" i="1"/>
  <c r="Q259" i="1"/>
  <c r="M259" i="1"/>
  <c r="Q258" i="1"/>
  <c r="R258" i="1" s="1"/>
  <c r="Q257" i="1"/>
  <c r="R257" i="1" s="1"/>
  <c r="R256" i="1"/>
  <c r="Q256" i="1"/>
  <c r="M256" i="1" s="1"/>
  <c r="T256" i="1" s="1"/>
  <c r="U256" i="1" s="1"/>
  <c r="Q255" i="1"/>
  <c r="R255" i="1" s="1"/>
  <c r="M255" i="1"/>
  <c r="T255" i="1" s="1"/>
  <c r="U255" i="1" s="1"/>
  <c r="U254" i="1"/>
  <c r="T254" i="1"/>
  <c r="Q254" i="1"/>
  <c r="R254" i="1" s="1"/>
  <c r="M254" i="1"/>
  <c r="R253" i="1"/>
  <c r="Q253" i="1"/>
  <c r="M253" i="1" s="1"/>
  <c r="T253" i="1" s="1"/>
  <c r="U253" i="1" s="1"/>
  <c r="R252" i="1"/>
  <c r="Q252" i="1"/>
  <c r="M252" i="1"/>
  <c r="T252" i="1" s="1"/>
  <c r="U252" i="1" s="1"/>
  <c r="U251" i="1"/>
  <c r="T251" i="1"/>
  <c r="R251" i="1"/>
  <c r="Q251" i="1"/>
  <c r="M251" i="1"/>
  <c r="Q250" i="1"/>
  <c r="R250" i="1" s="1"/>
  <c r="Q249" i="1"/>
  <c r="R249" i="1" s="1"/>
  <c r="R248" i="1"/>
  <c r="Q248" i="1"/>
  <c r="M248" i="1" s="1"/>
  <c r="T248" i="1" s="1"/>
  <c r="U248" i="1" s="1"/>
  <c r="Q247" i="1"/>
  <c r="R247" i="1" s="1"/>
  <c r="M247" i="1"/>
  <c r="T247" i="1" s="1"/>
  <c r="U247" i="1" s="1"/>
  <c r="U246" i="1"/>
  <c r="T246" i="1"/>
  <c r="Q246" i="1"/>
  <c r="R246" i="1" s="1"/>
  <c r="M246" i="1"/>
  <c r="R245" i="1"/>
  <c r="Q245" i="1"/>
  <c r="M245" i="1" s="1"/>
  <c r="S244" i="1"/>
  <c r="P244" i="1"/>
  <c r="O244" i="1"/>
  <c r="N244" i="1"/>
  <c r="L244" i="1"/>
  <c r="D14" i="2" s="1"/>
  <c r="K244" i="1"/>
  <c r="J244" i="1"/>
  <c r="I244" i="1"/>
  <c r="C14" i="2" s="1"/>
  <c r="R243" i="1"/>
  <c r="Q243" i="1"/>
  <c r="M243" i="1" s="1"/>
  <c r="T243" i="1" s="1"/>
  <c r="U243" i="1" s="1"/>
  <c r="R242" i="1"/>
  <c r="Q242" i="1"/>
  <c r="M242" i="1"/>
  <c r="T242" i="1" s="1"/>
  <c r="U242" i="1" s="1"/>
  <c r="U241" i="1"/>
  <c r="T241" i="1"/>
  <c r="R241" i="1"/>
  <c r="Q241" i="1"/>
  <c r="M241" i="1"/>
  <c r="Q240" i="1"/>
  <c r="R240" i="1" s="1"/>
  <c r="Q239" i="1"/>
  <c r="R239" i="1" s="1"/>
  <c r="R238" i="1"/>
  <c r="Q238" i="1"/>
  <c r="M238" i="1" s="1"/>
  <c r="S237" i="1"/>
  <c r="P237" i="1"/>
  <c r="O237" i="1"/>
  <c r="N237" i="1"/>
  <c r="L237" i="1"/>
  <c r="D13" i="2" s="1"/>
  <c r="K237" i="1"/>
  <c r="J237" i="1"/>
  <c r="I237" i="1"/>
  <c r="C13" i="2" s="1"/>
  <c r="R236" i="1"/>
  <c r="Q236" i="1"/>
  <c r="M236" i="1" s="1"/>
  <c r="T236" i="1" s="1"/>
  <c r="U236" i="1" s="1"/>
  <c r="Q235" i="1"/>
  <c r="R235" i="1" s="1"/>
  <c r="M235" i="1"/>
  <c r="T235" i="1" s="1"/>
  <c r="U235" i="1" s="1"/>
  <c r="U234" i="1"/>
  <c r="T234" i="1"/>
  <c r="Q234" i="1"/>
  <c r="R234" i="1" s="1"/>
  <c r="M234" i="1"/>
  <c r="R233" i="1"/>
  <c r="Q233" i="1"/>
  <c r="M233" i="1" s="1"/>
  <c r="T233" i="1" s="1"/>
  <c r="U233" i="1" s="1"/>
  <c r="R232" i="1"/>
  <c r="Q232" i="1"/>
  <c r="M232" i="1"/>
  <c r="T232" i="1" s="1"/>
  <c r="U232" i="1" s="1"/>
  <c r="U231" i="1"/>
  <c r="T231" i="1"/>
  <c r="R231" i="1"/>
  <c r="Q231" i="1"/>
  <c r="M231" i="1"/>
  <c r="Q230" i="1"/>
  <c r="R230" i="1" s="1"/>
  <c r="Q229" i="1"/>
  <c r="R229" i="1" s="1"/>
  <c r="S228" i="1"/>
  <c r="P228" i="1"/>
  <c r="O228" i="1"/>
  <c r="N228" i="1"/>
  <c r="L228" i="1"/>
  <c r="D12" i="2" s="1"/>
  <c r="K228" i="1"/>
  <c r="J228" i="1"/>
  <c r="I228" i="1"/>
  <c r="C12" i="2" s="1"/>
  <c r="Q227" i="1"/>
  <c r="R227" i="1" s="1"/>
  <c r="Q225" i="1"/>
  <c r="R225" i="1" s="1"/>
  <c r="M225" i="1"/>
  <c r="U224" i="1"/>
  <c r="T224" i="1"/>
  <c r="Q224" i="1"/>
  <c r="R224" i="1" s="1"/>
  <c r="M224" i="1"/>
  <c r="S223" i="1"/>
  <c r="P223" i="1"/>
  <c r="O223" i="1"/>
  <c r="N223" i="1"/>
  <c r="L223" i="1"/>
  <c r="D11" i="2" s="1"/>
  <c r="K223" i="1"/>
  <c r="J223" i="1"/>
  <c r="I223" i="1"/>
  <c r="C11" i="2" s="1"/>
  <c r="U222" i="1"/>
  <c r="T222" i="1"/>
  <c r="Q222" i="1"/>
  <c r="R222" i="1" s="1"/>
  <c r="M222" i="1"/>
  <c r="R221" i="1"/>
  <c r="Q221" i="1"/>
  <c r="M221" i="1" s="1"/>
  <c r="T221" i="1" s="1"/>
  <c r="U221" i="1" s="1"/>
  <c r="R220" i="1"/>
  <c r="Q220" i="1"/>
  <c r="M220" i="1"/>
  <c r="T220" i="1" s="1"/>
  <c r="U220" i="1" s="1"/>
  <c r="U219" i="1"/>
  <c r="T219" i="1"/>
  <c r="R219" i="1"/>
  <c r="Q219" i="1"/>
  <c r="M219" i="1"/>
  <c r="Q218" i="1"/>
  <c r="R218" i="1" s="1"/>
  <c r="Q217" i="1"/>
  <c r="R217" i="1" s="1"/>
  <c r="R216" i="1"/>
  <c r="Q216" i="1"/>
  <c r="M216" i="1" s="1"/>
  <c r="T216" i="1" s="1"/>
  <c r="U216" i="1" s="1"/>
  <c r="Q215" i="1"/>
  <c r="R215" i="1" s="1"/>
  <c r="M215" i="1"/>
  <c r="T215" i="1" s="1"/>
  <c r="U215" i="1" s="1"/>
  <c r="U214" i="1"/>
  <c r="T214" i="1"/>
  <c r="Q214" i="1"/>
  <c r="R214" i="1" s="1"/>
  <c r="M214" i="1"/>
  <c r="R213" i="1"/>
  <c r="Q213" i="1"/>
  <c r="M213" i="1" s="1"/>
  <c r="T213" i="1" s="1"/>
  <c r="U213" i="1" s="1"/>
  <c r="R212" i="1"/>
  <c r="Q212" i="1"/>
  <c r="M212" i="1"/>
  <c r="T212" i="1" s="1"/>
  <c r="U212" i="1" s="1"/>
  <c r="U211" i="1"/>
  <c r="T211" i="1"/>
  <c r="R211" i="1"/>
  <c r="Q211" i="1"/>
  <c r="M211" i="1"/>
  <c r="Q210" i="1"/>
  <c r="R210" i="1" s="1"/>
  <c r="Q209" i="1"/>
  <c r="R209" i="1" s="1"/>
  <c r="R208" i="1"/>
  <c r="Q208" i="1"/>
  <c r="M208" i="1" s="1"/>
  <c r="T208" i="1" s="1"/>
  <c r="U208" i="1" s="1"/>
  <c r="Q207" i="1"/>
  <c r="R207" i="1" s="1"/>
  <c r="M207" i="1"/>
  <c r="T207" i="1" s="1"/>
  <c r="U207" i="1" s="1"/>
  <c r="U206" i="1"/>
  <c r="T206" i="1"/>
  <c r="Q206" i="1"/>
  <c r="R206" i="1" s="1"/>
  <c r="M206" i="1"/>
  <c r="R205" i="1"/>
  <c r="Q205" i="1"/>
  <c r="M205" i="1" s="1"/>
  <c r="T205" i="1" s="1"/>
  <c r="U205" i="1" s="1"/>
  <c r="R204" i="1"/>
  <c r="Q204" i="1"/>
  <c r="M204" i="1"/>
  <c r="T204" i="1" s="1"/>
  <c r="U204" i="1" s="1"/>
  <c r="U203" i="1"/>
  <c r="T203" i="1"/>
  <c r="R203" i="1"/>
  <c r="Q203" i="1"/>
  <c r="M203" i="1"/>
  <c r="Q202" i="1"/>
  <c r="R202" i="1" s="1"/>
  <c r="Q201" i="1"/>
  <c r="R201" i="1" s="1"/>
  <c r="R200" i="1"/>
  <c r="Q200" i="1"/>
  <c r="M200" i="1" s="1"/>
  <c r="T200" i="1" s="1"/>
  <c r="U200" i="1" s="1"/>
  <c r="Q199" i="1"/>
  <c r="R199" i="1" s="1"/>
  <c r="M199" i="1"/>
  <c r="T199" i="1" s="1"/>
  <c r="U199" i="1" s="1"/>
  <c r="Q198" i="1"/>
  <c r="R198" i="1" s="1"/>
  <c r="R197" i="1"/>
  <c r="Q197" i="1"/>
  <c r="M197" i="1" s="1"/>
  <c r="T197" i="1" s="1"/>
  <c r="U197" i="1" s="1"/>
  <c r="R196" i="1"/>
  <c r="Q196" i="1"/>
  <c r="M196" i="1"/>
  <c r="T196" i="1" s="1"/>
  <c r="U196" i="1" s="1"/>
  <c r="U195" i="1"/>
  <c r="T195" i="1"/>
  <c r="R195" i="1"/>
  <c r="Q195" i="1"/>
  <c r="M195" i="1"/>
  <c r="Q194" i="1"/>
  <c r="R194" i="1" s="1"/>
  <c r="Q193" i="1"/>
  <c r="R193" i="1" s="1"/>
  <c r="R192" i="1"/>
  <c r="Q192" i="1"/>
  <c r="M192" i="1" s="1"/>
  <c r="T192" i="1" s="1"/>
  <c r="U192" i="1" s="1"/>
  <c r="Q191" i="1"/>
  <c r="R191" i="1" s="1"/>
  <c r="M191" i="1"/>
  <c r="T191" i="1" s="1"/>
  <c r="U191" i="1" s="1"/>
  <c r="Q190" i="1"/>
  <c r="R190" i="1" s="1"/>
  <c r="R189" i="1"/>
  <c r="Q189" i="1"/>
  <c r="M189" i="1" s="1"/>
  <c r="T189" i="1" s="1"/>
  <c r="U189" i="1" s="1"/>
  <c r="R188" i="1"/>
  <c r="Q188" i="1"/>
  <c r="M188" i="1"/>
  <c r="T188" i="1" s="1"/>
  <c r="U188" i="1" s="1"/>
  <c r="U187" i="1"/>
  <c r="T187" i="1"/>
  <c r="R187" i="1"/>
  <c r="Q187" i="1"/>
  <c r="M187" i="1"/>
  <c r="Q186" i="1"/>
  <c r="R186" i="1" s="1"/>
  <c r="Q185" i="1"/>
  <c r="R185" i="1" s="1"/>
  <c r="R184" i="1"/>
  <c r="Q184" i="1"/>
  <c r="M184" i="1" s="1"/>
  <c r="T184" i="1" s="1"/>
  <c r="U184" i="1" s="1"/>
  <c r="Q183" i="1"/>
  <c r="R183" i="1" s="1"/>
  <c r="M183" i="1"/>
  <c r="T183" i="1" s="1"/>
  <c r="U183" i="1" s="1"/>
  <c r="U182" i="1"/>
  <c r="T182" i="1"/>
  <c r="Q182" i="1"/>
  <c r="R182" i="1" s="1"/>
  <c r="M182" i="1"/>
  <c r="R181" i="1"/>
  <c r="Q181" i="1"/>
  <c r="M181" i="1" s="1"/>
  <c r="T181" i="1" s="1"/>
  <c r="U181" i="1" s="1"/>
  <c r="R180" i="1"/>
  <c r="Q180" i="1"/>
  <c r="M180" i="1"/>
  <c r="T180" i="1" s="1"/>
  <c r="U180" i="1" s="1"/>
  <c r="U179" i="1"/>
  <c r="T179" i="1"/>
  <c r="R179" i="1"/>
  <c r="Q179" i="1"/>
  <c r="M179" i="1"/>
  <c r="Q178" i="1"/>
  <c r="R178" i="1" s="1"/>
  <c r="Q177" i="1"/>
  <c r="R177" i="1" s="1"/>
  <c r="R176" i="1"/>
  <c r="Q176" i="1"/>
  <c r="M176" i="1" s="1"/>
  <c r="T176" i="1" s="1"/>
  <c r="U176" i="1" s="1"/>
  <c r="Q175" i="1"/>
  <c r="R175" i="1" s="1"/>
  <c r="M175" i="1"/>
  <c r="T175" i="1" s="1"/>
  <c r="U175" i="1" s="1"/>
  <c r="U174" i="1"/>
  <c r="T174" i="1"/>
  <c r="Q174" i="1"/>
  <c r="R174" i="1" s="1"/>
  <c r="M174" i="1"/>
  <c r="R173" i="1"/>
  <c r="Q173" i="1"/>
  <c r="M173" i="1" s="1"/>
  <c r="T173" i="1" s="1"/>
  <c r="U173" i="1" s="1"/>
  <c r="R172" i="1"/>
  <c r="Q172" i="1"/>
  <c r="M172" i="1"/>
  <c r="T172" i="1" s="1"/>
  <c r="U172" i="1" s="1"/>
  <c r="U171" i="1"/>
  <c r="T171" i="1"/>
  <c r="R171" i="1"/>
  <c r="Q171" i="1"/>
  <c r="M171" i="1"/>
  <c r="Q170" i="1"/>
  <c r="R170" i="1" s="1"/>
  <c r="Q169" i="1"/>
  <c r="R169" i="1" s="1"/>
  <c r="R168" i="1"/>
  <c r="Q168" i="1"/>
  <c r="M168" i="1" s="1"/>
  <c r="T168" i="1" s="1"/>
  <c r="U168" i="1" s="1"/>
  <c r="Q167" i="1"/>
  <c r="R167" i="1" s="1"/>
  <c r="M167" i="1"/>
  <c r="T167" i="1" s="1"/>
  <c r="U167" i="1" s="1"/>
  <c r="U166" i="1"/>
  <c r="T166" i="1"/>
  <c r="Q166" i="1"/>
  <c r="R166" i="1" s="1"/>
  <c r="M166" i="1"/>
  <c r="R165" i="1"/>
  <c r="Q165" i="1"/>
  <c r="M165" i="1" s="1"/>
  <c r="T165" i="1" s="1"/>
  <c r="U165" i="1" s="1"/>
  <c r="R164" i="1"/>
  <c r="Q164" i="1"/>
  <c r="M164" i="1"/>
  <c r="T164" i="1" s="1"/>
  <c r="U164" i="1" s="1"/>
  <c r="U163" i="1"/>
  <c r="T163" i="1"/>
  <c r="R163" i="1"/>
  <c r="Q163" i="1"/>
  <c r="M163" i="1"/>
  <c r="Q162" i="1"/>
  <c r="R162" i="1" s="1"/>
  <c r="Q161" i="1"/>
  <c r="R161" i="1" s="1"/>
  <c r="R160" i="1"/>
  <c r="Q160" i="1"/>
  <c r="M160" i="1" s="1"/>
  <c r="T160" i="1" s="1"/>
  <c r="U160" i="1" s="1"/>
  <c r="Q159" i="1"/>
  <c r="R159" i="1" s="1"/>
  <c r="M159" i="1"/>
  <c r="T159" i="1" s="1"/>
  <c r="U159" i="1" s="1"/>
  <c r="U158" i="1"/>
  <c r="T158" i="1"/>
  <c r="Q158" i="1"/>
  <c r="R158" i="1" s="1"/>
  <c r="M158" i="1"/>
  <c r="R157" i="1"/>
  <c r="Q157" i="1"/>
  <c r="M157" i="1" s="1"/>
  <c r="T157" i="1" s="1"/>
  <c r="U157" i="1" s="1"/>
  <c r="R156" i="1"/>
  <c r="Q156" i="1"/>
  <c r="M156" i="1"/>
  <c r="T156" i="1" s="1"/>
  <c r="U156" i="1" s="1"/>
  <c r="U155" i="1"/>
  <c r="T155" i="1"/>
  <c r="R155" i="1"/>
  <c r="Q155" i="1"/>
  <c r="M155" i="1"/>
  <c r="Q154" i="1"/>
  <c r="R154" i="1" s="1"/>
  <c r="Q153" i="1"/>
  <c r="R153" i="1" s="1"/>
  <c r="R152" i="1"/>
  <c r="Q152" i="1"/>
  <c r="M152" i="1" s="1"/>
  <c r="T152" i="1" s="1"/>
  <c r="U152" i="1" s="1"/>
  <c r="Q151" i="1"/>
  <c r="R151" i="1" s="1"/>
  <c r="M151" i="1"/>
  <c r="T151" i="1" s="1"/>
  <c r="U151" i="1" s="1"/>
  <c r="U150" i="1"/>
  <c r="T150" i="1"/>
  <c r="Q150" i="1"/>
  <c r="R150" i="1" s="1"/>
  <c r="M150" i="1"/>
  <c r="R149" i="1"/>
  <c r="Q149" i="1"/>
  <c r="M149" i="1" s="1"/>
  <c r="T149" i="1" s="1"/>
  <c r="U149" i="1" s="1"/>
  <c r="R148" i="1"/>
  <c r="Q148" i="1"/>
  <c r="M148" i="1"/>
  <c r="T148" i="1" s="1"/>
  <c r="U148" i="1" s="1"/>
  <c r="U147" i="1"/>
  <c r="T147" i="1"/>
  <c r="R147" i="1"/>
  <c r="Q147" i="1"/>
  <c r="M147" i="1"/>
  <c r="Q146" i="1"/>
  <c r="R146" i="1" s="1"/>
  <c r="Q145" i="1"/>
  <c r="R145" i="1" s="1"/>
  <c r="R144" i="1"/>
  <c r="Q144" i="1"/>
  <c r="M144" i="1" s="1"/>
  <c r="T144" i="1" s="1"/>
  <c r="U144" i="1" s="1"/>
  <c r="Q143" i="1"/>
  <c r="R143" i="1" s="1"/>
  <c r="M143" i="1"/>
  <c r="T143" i="1" s="1"/>
  <c r="U143" i="1" s="1"/>
  <c r="U142" i="1"/>
  <c r="T142" i="1"/>
  <c r="Q142" i="1"/>
  <c r="R142" i="1" s="1"/>
  <c r="M142" i="1"/>
  <c r="R141" i="1"/>
  <c r="Q141" i="1"/>
  <c r="M141" i="1" s="1"/>
  <c r="T141" i="1" s="1"/>
  <c r="U141" i="1" s="1"/>
  <c r="R140" i="1"/>
  <c r="Q140" i="1"/>
  <c r="M140" i="1"/>
  <c r="T140" i="1" s="1"/>
  <c r="U140" i="1" s="1"/>
  <c r="U139" i="1"/>
  <c r="T139" i="1"/>
  <c r="R139" i="1"/>
  <c r="Q139" i="1"/>
  <c r="M139" i="1"/>
  <c r="Q138" i="1"/>
  <c r="R138" i="1" s="1"/>
  <c r="Q137" i="1"/>
  <c r="R137" i="1" s="1"/>
  <c r="R136" i="1"/>
  <c r="Q136" i="1"/>
  <c r="M136" i="1" s="1"/>
  <c r="T136" i="1" s="1"/>
  <c r="U136" i="1" s="1"/>
  <c r="Q135" i="1"/>
  <c r="R135" i="1" s="1"/>
  <c r="M135" i="1"/>
  <c r="T135" i="1" s="1"/>
  <c r="U135" i="1" s="1"/>
  <c r="Q134" i="1"/>
  <c r="R134" i="1" s="1"/>
  <c r="R133" i="1"/>
  <c r="Q133" i="1"/>
  <c r="M133" i="1" s="1"/>
  <c r="T133" i="1" s="1"/>
  <c r="U133" i="1" s="1"/>
  <c r="R132" i="1"/>
  <c r="Q132" i="1"/>
  <c r="M132" i="1"/>
  <c r="T132" i="1" s="1"/>
  <c r="U132" i="1" s="1"/>
  <c r="U131" i="1"/>
  <c r="T131" i="1"/>
  <c r="R131" i="1"/>
  <c r="Q131" i="1"/>
  <c r="M131" i="1"/>
  <c r="Q130" i="1"/>
  <c r="R130" i="1" s="1"/>
  <c r="Q129" i="1"/>
  <c r="R129" i="1" s="1"/>
  <c r="R128" i="1"/>
  <c r="Q128" i="1"/>
  <c r="M128" i="1" s="1"/>
  <c r="T128" i="1" s="1"/>
  <c r="U128" i="1" s="1"/>
  <c r="Q127" i="1"/>
  <c r="R127" i="1" s="1"/>
  <c r="M127" i="1"/>
  <c r="T127" i="1" s="1"/>
  <c r="U127" i="1" s="1"/>
  <c r="Q126" i="1"/>
  <c r="R126" i="1" s="1"/>
  <c r="R125" i="1"/>
  <c r="Q125" i="1"/>
  <c r="M125" i="1" s="1"/>
  <c r="T125" i="1" s="1"/>
  <c r="U125" i="1" s="1"/>
  <c r="R124" i="1"/>
  <c r="Q124" i="1"/>
  <c r="M124" i="1"/>
  <c r="T124" i="1" s="1"/>
  <c r="U124" i="1" s="1"/>
  <c r="U123" i="1"/>
  <c r="T123" i="1"/>
  <c r="R123" i="1"/>
  <c r="Q123" i="1"/>
  <c r="M123" i="1"/>
  <c r="Q122" i="1"/>
  <c r="R122" i="1" s="1"/>
  <c r="Q121" i="1"/>
  <c r="R121" i="1" s="1"/>
  <c r="R120" i="1"/>
  <c r="Q120" i="1"/>
  <c r="M120" i="1" s="1"/>
  <c r="T120" i="1" s="1"/>
  <c r="U120" i="1" s="1"/>
  <c r="Q119" i="1"/>
  <c r="R119" i="1" s="1"/>
  <c r="M119" i="1"/>
  <c r="T119" i="1" s="1"/>
  <c r="U119" i="1" s="1"/>
  <c r="Q118" i="1"/>
  <c r="R118" i="1" s="1"/>
  <c r="R117" i="1"/>
  <c r="Q117" i="1"/>
  <c r="M117" i="1" s="1"/>
  <c r="T117" i="1" s="1"/>
  <c r="U117" i="1" s="1"/>
  <c r="R116" i="1"/>
  <c r="Q116" i="1"/>
  <c r="M116" i="1"/>
  <c r="T116" i="1" s="1"/>
  <c r="U116" i="1" s="1"/>
  <c r="U115" i="1"/>
  <c r="T115" i="1"/>
  <c r="R115" i="1"/>
  <c r="Q115" i="1"/>
  <c r="M115" i="1"/>
  <c r="Q114" i="1"/>
  <c r="Q113" i="1"/>
  <c r="R113" i="1" s="1"/>
  <c r="R112" i="1"/>
  <c r="Q112" i="1"/>
  <c r="M112" i="1" s="1"/>
  <c r="T112" i="1" s="1"/>
  <c r="U112" i="1" s="1"/>
  <c r="Q111" i="1"/>
  <c r="R111" i="1" s="1"/>
  <c r="M111" i="1"/>
  <c r="T111" i="1" s="1"/>
  <c r="U111" i="1" s="1"/>
  <c r="Q110" i="1"/>
  <c r="R110" i="1" s="1"/>
  <c r="R109" i="1"/>
  <c r="Q109" i="1"/>
  <c r="M109" i="1" s="1"/>
  <c r="T109" i="1" s="1"/>
  <c r="U109" i="1" s="1"/>
  <c r="R108" i="1"/>
  <c r="Q108" i="1"/>
  <c r="M108" i="1"/>
  <c r="T108" i="1" s="1"/>
  <c r="U108" i="1" s="1"/>
  <c r="U107" i="1"/>
  <c r="T107" i="1"/>
  <c r="R107" i="1"/>
  <c r="Q107" i="1"/>
  <c r="M107" i="1"/>
  <c r="Q106" i="1"/>
  <c r="Q105" i="1"/>
  <c r="R105" i="1" s="1"/>
  <c r="T104" i="1"/>
  <c r="U104" i="1" s="1"/>
  <c r="R104" i="1"/>
  <c r="Q104" i="1"/>
  <c r="M104" i="1" s="1"/>
  <c r="Q103" i="1"/>
  <c r="R103" i="1" s="1"/>
  <c r="M103" i="1"/>
  <c r="T103" i="1" s="1"/>
  <c r="U103" i="1" s="1"/>
  <c r="Q102" i="1"/>
  <c r="R102" i="1" s="1"/>
  <c r="R101" i="1"/>
  <c r="Q101" i="1"/>
  <c r="M101" i="1" s="1"/>
  <c r="T101" i="1" s="1"/>
  <c r="U101" i="1" s="1"/>
  <c r="R100" i="1"/>
  <c r="Q100" i="1"/>
  <c r="M100" i="1"/>
  <c r="T100" i="1" s="1"/>
  <c r="U100" i="1" s="1"/>
  <c r="U99" i="1"/>
  <c r="T99" i="1"/>
  <c r="R99" i="1"/>
  <c r="Q99" i="1"/>
  <c r="M99" i="1"/>
  <c r="Q98" i="1"/>
  <c r="Q97" i="1"/>
  <c r="R97" i="1" s="1"/>
  <c r="T96" i="1"/>
  <c r="U96" i="1" s="1"/>
  <c r="R96" i="1"/>
  <c r="Q96" i="1"/>
  <c r="M96" i="1" s="1"/>
  <c r="Q95" i="1"/>
  <c r="R95" i="1" s="1"/>
  <c r="M95" i="1"/>
  <c r="T95" i="1" s="1"/>
  <c r="U95" i="1" s="1"/>
  <c r="Q94" i="1"/>
  <c r="R94" i="1" s="1"/>
  <c r="R93" i="1"/>
  <c r="Q93" i="1"/>
  <c r="M93" i="1" s="1"/>
  <c r="T93" i="1" s="1"/>
  <c r="U93" i="1" s="1"/>
  <c r="R92" i="1"/>
  <c r="Q92" i="1"/>
  <c r="M92" i="1"/>
  <c r="T92" i="1" s="1"/>
  <c r="U92" i="1" s="1"/>
  <c r="U91" i="1"/>
  <c r="T91" i="1"/>
  <c r="R91" i="1"/>
  <c r="Q91" i="1"/>
  <c r="M91" i="1"/>
  <c r="Q90" i="1"/>
  <c r="Q89" i="1"/>
  <c r="R89" i="1" s="1"/>
  <c r="T88" i="1"/>
  <c r="U88" i="1" s="1"/>
  <c r="R88" i="1"/>
  <c r="Q88" i="1"/>
  <c r="M88" i="1" s="1"/>
  <c r="Q87" i="1"/>
  <c r="R87" i="1" s="1"/>
  <c r="M87" i="1"/>
  <c r="T87" i="1" s="1"/>
  <c r="U87" i="1" s="1"/>
  <c r="Q86" i="1"/>
  <c r="R86" i="1" s="1"/>
  <c r="Q85" i="1"/>
  <c r="M85" i="1" s="1"/>
  <c r="T85" i="1" s="1"/>
  <c r="U85" i="1" s="1"/>
  <c r="R84" i="1"/>
  <c r="Q84" i="1"/>
  <c r="M84" i="1"/>
  <c r="T84" i="1" s="1"/>
  <c r="U84" i="1" s="1"/>
  <c r="U83" i="1"/>
  <c r="T83" i="1"/>
  <c r="R83" i="1"/>
  <c r="Q83" i="1"/>
  <c r="M83" i="1"/>
  <c r="R82" i="1"/>
  <c r="Q82" i="1"/>
  <c r="M82" i="1"/>
  <c r="T82" i="1" s="1"/>
  <c r="U82" i="1" s="1"/>
  <c r="Q81" i="1"/>
  <c r="R81" i="1" s="1"/>
  <c r="U80" i="1"/>
  <c r="T80" i="1"/>
  <c r="R80" i="1"/>
  <c r="Q80" i="1"/>
  <c r="M80" i="1" s="1"/>
  <c r="Q79" i="1"/>
  <c r="R79" i="1" s="1"/>
  <c r="M79" i="1"/>
  <c r="T79" i="1" s="1"/>
  <c r="U79" i="1" s="1"/>
  <c r="Q78" i="1"/>
  <c r="R78" i="1" s="1"/>
  <c r="R77" i="1"/>
  <c r="Q77" i="1"/>
  <c r="M77" i="1" s="1"/>
  <c r="T77" i="1" s="1"/>
  <c r="U77" i="1" s="1"/>
  <c r="R76" i="1"/>
  <c r="Q76" i="1"/>
  <c r="M76" i="1"/>
  <c r="T76" i="1" s="1"/>
  <c r="U76" i="1" s="1"/>
  <c r="U75" i="1"/>
  <c r="T75" i="1"/>
  <c r="R75" i="1"/>
  <c r="Q75" i="1"/>
  <c r="M75" i="1"/>
  <c r="Q74" i="1"/>
  <c r="R74" i="1" s="1"/>
  <c r="Q73" i="1"/>
  <c r="R73" i="1" s="1"/>
  <c r="Q72" i="1"/>
  <c r="M72" i="1" s="1"/>
  <c r="T72" i="1" s="1"/>
  <c r="U72" i="1" s="1"/>
  <c r="Q71" i="1"/>
  <c r="R71" i="1" s="1"/>
  <c r="Q70" i="1"/>
  <c r="R70" i="1" s="1"/>
  <c r="Q69" i="1"/>
  <c r="R69" i="1" s="1"/>
  <c r="M69" i="1"/>
  <c r="T69" i="1" s="1"/>
  <c r="U69" i="1" s="1"/>
  <c r="R68" i="1"/>
  <c r="Q68" i="1"/>
  <c r="M68" i="1"/>
  <c r="T68" i="1" s="1"/>
  <c r="U68" i="1" s="1"/>
  <c r="R67" i="1"/>
  <c r="Q67" i="1"/>
  <c r="M67" i="1"/>
  <c r="T67" i="1" s="1"/>
  <c r="U67" i="1" s="1"/>
  <c r="Q66" i="1"/>
  <c r="R66" i="1" s="1"/>
  <c r="M66" i="1"/>
  <c r="T66" i="1" s="1"/>
  <c r="U66" i="1" s="1"/>
  <c r="Q65" i="1"/>
  <c r="R65" i="1" s="1"/>
  <c r="M65" i="1"/>
  <c r="T65" i="1" s="1"/>
  <c r="U65" i="1" s="1"/>
  <c r="Q64" i="1"/>
  <c r="M64" i="1" s="1"/>
  <c r="T64" i="1" s="1"/>
  <c r="U64" i="1" s="1"/>
  <c r="Q63" i="1"/>
  <c r="R63" i="1" s="1"/>
  <c r="R62" i="1"/>
  <c r="Q62" i="1"/>
  <c r="M62" i="1" s="1"/>
  <c r="T62" i="1" s="1"/>
  <c r="U62" i="1" s="1"/>
  <c r="T61" i="1"/>
  <c r="U61" i="1" s="1"/>
  <c r="Q61" i="1"/>
  <c r="R61" i="1" s="1"/>
  <c r="M61" i="1"/>
  <c r="Q60" i="1"/>
  <c r="R60" i="1" s="1"/>
  <c r="M60" i="1"/>
  <c r="T60" i="1" s="1"/>
  <c r="U60" i="1" s="1"/>
  <c r="Q59" i="1"/>
  <c r="M59" i="1" s="1"/>
  <c r="T59" i="1" s="1"/>
  <c r="U59" i="1" s="1"/>
  <c r="R58" i="1"/>
  <c r="Q58" i="1"/>
  <c r="M58" i="1"/>
  <c r="T58" i="1" s="1"/>
  <c r="U58" i="1" s="1"/>
  <c r="T57" i="1"/>
  <c r="U57" i="1" s="1"/>
  <c r="R57" i="1"/>
  <c r="Q57" i="1"/>
  <c r="M57" i="1"/>
  <c r="Q56" i="1"/>
  <c r="R56" i="1" s="1"/>
  <c r="M56" i="1"/>
  <c r="T56" i="1" s="1"/>
  <c r="U56" i="1" s="1"/>
  <c r="Q55" i="1"/>
  <c r="R55" i="1" s="1"/>
  <c r="R54" i="1"/>
  <c r="Q54" i="1"/>
  <c r="M54" i="1" s="1"/>
  <c r="T54" i="1" s="1"/>
  <c r="U54" i="1" s="1"/>
  <c r="T53" i="1"/>
  <c r="U53" i="1" s="1"/>
  <c r="Q53" i="1"/>
  <c r="R53" i="1" s="1"/>
  <c r="M53" i="1"/>
  <c r="Q52" i="1"/>
  <c r="R52" i="1" s="1"/>
  <c r="M52" i="1"/>
  <c r="T52" i="1" s="1"/>
  <c r="U52" i="1" s="1"/>
  <c r="Q51" i="1"/>
  <c r="M51" i="1" s="1"/>
  <c r="T51" i="1" s="1"/>
  <c r="U51" i="1" s="1"/>
  <c r="R50" i="1"/>
  <c r="Q50" i="1"/>
  <c r="M50" i="1"/>
  <c r="T50" i="1" s="1"/>
  <c r="U50" i="1" s="1"/>
  <c r="T49" i="1"/>
  <c r="U49" i="1" s="1"/>
  <c r="R49" i="1"/>
  <c r="Q49" i="1"/>
  <c r="M49" i="1"/>
  <c r="Q48" i="1"/>
  <c r="R48" i="1" s="1"/>
  <c r="M48" i="1"/>
  <c r="T48" i="1" s="1"/>
  <c r="U48" i="1" s="1"/>
  <c r="Q47" i="1"/>
  <c r="R47" i="1" s="1"/>
  <c r="R46" i="1"/>
  <c r="Q46" i="1"/>
  <c r="M46" i="1" s="1"/>
  <c r="T46" i="1" s="1"/>
  <c r="U46" i="1" s="1"/>
  <c r="T45" i="1"/>
  <c r="U45" i="1" s="1"/>
  <c r="Q45" i="1"/>
  <c r="R45" i="1" s="1"/>
  <c r="M45" i="1"/>
  <c r="Q44" i="1"/>
  <c r="R44" i="1" s="1"/>
  <c r="M44" i="1"/>
  <c r="T44" i="1" s="1"/>
  <c r="U44" i="1" s="1"/>
  <c r="Q43" i="1"/>
  <c r="M43" i="1" s="1"/>
  <c r="T43" i="1" s="1"/>
  <c r="U43" i="1" s="1"/>
  <c r="R42" i="1"/>
  <c r="Q42" i="1"/>
  <c r="M42" i="1"/>
  <c r="T42" i="1" s="1"/>
  <c r="U42" i="1" s="1"/>
  <c r="T41" i="1"/>
  <c r="U41" i="1" s="1"/>
  <c r="R41" i="1"/>
  <c r="Q41" i="1"/>
  <c r="M41" i="1"/>
  <c r="Q40" i="1"/>
  <c r="R40" i="1" s="1"/>
  <c r="M40" i="1"/>
  <c r="T40" i="1" s="1"/>
  <c r="U40" i="1" s="1"/>
  <c r="Q39" i="1"/>
  <c r="R39" i="1" s="1"/>
  <c r="R38" i="1"/>
  <c r="Q38" i="1"/>
  <c r="M38" i="1" s="1"/>
  <c r="T38" i="1" s="1"/>
  <c r="U38" i="1" s="1"/>
  <c r="T37" i="1"/>
  <c r="U37" i="1" s="1"/>
  <c r="Q37" i="1"/>
  <c r="R37" i="1" s="1"/>
  <c r="M37" i="1"/>
  <c r="Q36" i="1"/>
  <c r="R36" i="1" s="1"/>
  <c r="M36" i="1"/>
  <c r="T36" i="1" s="1"/>
  <c r="U36" i="1" s="1"/>
  <c r="Q35" i="1"/>
  <c r="M35" i="1" s="1"/>
  <c r="T35" i="1" s="1"/>
  <c r="U35" i="1" s="1"/>
  <c r="R34" i="1"/>
  <c r="Q34" i="1"/>
  <c r="M34" i="1"/>
  <c r="T34" i="1" s="1"/>
  <c r="U34" i="1" s="1"/>
  <c r="T33" i="1"/>
  <c r="U33" i="1" s="1"/>
  <c r="R33" i="1"/>
  <c r="Q33" i="1"/>
  <c r="M33" i="1"/>
  <c r="Q32" i="1"/>
  <c r="R32" i="1" s="1"/>
  <c r="M32" i="1"/>
  <c r="T32" i="1" s="1"/>
  <c r="U32" i="1" s="1"/>
  <c r="Q31" i="1"/>
  <c r="R31" i="1" s="1"/>
  <c r="R30" i="1"/>
  <c r="Q30" i="1"/>
  <c r="M30" i="1" s="1"/>
  <c r="T30" i="1" s="1"/>
  <c r="U30" i="1" s="1"/>
  <c r="Q29" i="1"/>
  <c r="R29" i="1" s="1"/>
  <c r="M29" i="1"/>
  <c r="T29" i="1" s="1"/>
  <c r="U29" i="1" s="1"/>
  <c r="Q28" i="1"/>
  <c r="R28" i="1" s="1"/>
  <c r="M28" i="1"/>
  <c r="T28" i="1" s="1"/>
  <c r="U28" i="1" s="1"/>
  <c r="Q27" i="1"/>
  <c r="M27" i="1" s="1"/>
  <c r="T27" i="1" s="1"/>
  <c r="U27" i="1" s="1"/>
  <c r="R26" i="1"/>
  <c r="Q26" i="1"/>
  <c r="M26" i="1"/>
  <c r="T26" i="1" s="1"/>
  <c r="U26" i="1" s="1"/>
  <c r="T25" i="1"/>
  <c r="U25" i="1" s="1"/>
  <c r="R25" i="1"/>
  <c r="Q25" i="1"/>
  <c r="M25" i="1"/>
  <c r="Q24" i="1"/>
  <c r="R24" i="1" s="1"/>
  <c r="M24" i="1"/>
  <c r="T24" i="1" s="1"/>
  <c r="U24" i="1" s="1"/>
  <c r="Q23" i="1"/>
  <c r="R23" i="1" s="1"/>
  <c r="R22" i="1"/>
  <c r="Q22" i="1"/>
  <c r="M22" i="1" s="1"/>
  <c r="S21" i="1"/>
  <c r="P21" i="1"/>
  <c r="P20" i="1" s="1"/>
  <c r="O21" i="1"/>
  <c r="O20" i="1" s="1"/>
  <c r="N21" i="1"/>
  <c r="L21" i="1"/>
  <c r="D10" i="2" s="1"/>
  <c r="D9" i="2" s="1"/>
  <c r="K21" i="1"/>
  <c r="J21" i="1"/>
  <c r="J20" i="1" s="1"/>
  <c r="I21" i="1"/>
  <c r="C10" i="2" s="1"/>
  <c r="C9" i="2" s="1"/>
  <c r="S20" i="1"/>
  <c r="K20" i="1"/>
  <c r="I20" i="1"/>
  <c r="T22" i="1" l="1"/>
  <c r="U22" i="1" s="1"/>
  <c r="R114" i="1"/>
  <c r="M114" i="1"/>
  <c r="T114" i="1" s="1"/>
  <c r="U114" i="1" s="1"/>
  <c r="R237" i="1"/>
  <c r="R27" i="1"/>
  <c r="R21" i="1" s="1"/>
  <c r="R35" i="1"/>
  <c r="R43" i="1"/>
  <c r="R51" i="1"/>
  <c r="R59" i="1"/>
  <c r="R64" i="1"/>
  <c r="R85" i="1"/>
  <c r="T371" i="1"/>
  <c r="U371" i="1" s="1"/>
  <c r="T381" i="1"/>
  <c r="U381" i="1" s="1"/>
  <c r="M380" i="1"/>
  <c r="M28" i="2" s="1"/>
  <c r="N28" i="2" s="1"/>
  <c r="R90" i="1"/>
  <c r="M90" i="1"/>
  <c r="T90" i="1" s="1"/>
  <c r="U90" i="1" s="1"/>
  <c r="M295" i="1"/>
  <c r="M19" i="2" s="1"/>
  <c r="N19" i="2" s="1"/>
  <c r="Q21" i="1"/>
  <c r="M23" i="1"/>
  <c r="T23" i="1" s="1"/>
  <c r="U23" i="1" s="1"/>
  <c r="M31" i="1"/>
  <c r="T31" i="1" s="1"/>
  <c r="U31" i="1" s="1"/>
  <c r="M39" i="1"/>
  <c r="T39" i="1" s="1"/>
  <c r="U39" i="1" s="1"/>
  <c r="M47" i="1"/>
  <c r="T47" i="1" s="1"/>
  <c r="U47" i="1" s="1"/>
  <c r="M55" i="1"/>
  <c r="T55" i="1" s="1"/>
  <c r="U55" i="1" s="1"/>
  <c r="M63" i="1"/>
  <c r="T63" i="1" s="1"/>
  <c r="U63" i="1" s="1"/>
  <c r="M71" i="1"/>
  <c r="T71" i="1" s="1"/>
  <c r="U71" i="1" s="1"/>
  <c r="M74" i="1"/>
  <c r="T74" i="1" s="1"/>
  <c r="U74" i="1" s="1"/>
  <c r="R228" i="1"/>
  <c r="T280" i="1"/>
  <c r="U280" i="1" s="1"/>
  <c r="R295" i="1"/>
  <c r="R98" i="1"/>
  <c r="M98" i="1"/>
  <c r="T98" i="1" s="1"/>
  <c r="U98" i="1" s="1"/>
  <c r="R279" i="1"/>
  <c r="T245" i="1"/>
  <c r="U245" i="1" s="1"/>
  <c r="R72" i="1"/>
  <c r="R106" i="1"/>
  <c r="M106" i="1"/>
  <c r="T106" i="1" s="1"/>
  <c r="U106" i="1" s="1"/>
  <c r="T339" i="1"/>
  <c r="U339" i="1" s="1"/>
  <c r="T238" i="1"/>
  <c r="U238" i="1" s="1"/>
  <c r="R268" i="1"/>
  <c r="M122" i="1"/>
  <c r="T122" i="1" s="1"/>
  <c r="U122" i="1" s="1"/>
  <c r="M130" i="1"/>
  <c r="T130" i="1" s="1"/>
  <c r="U130" i="1" s="1"/>
  <c r="M138" i="1"/>
  <c r="T138" i="1" s="1"/>
  <c r="U138" i="1" s="1"/>
  <c r="M146" i="1"/>
  <c r="T146" i="1" s="1"/>
  <c r="U146" i="1" s="1"/>
  <c r="M154" i="1"/>
  <c r="T154" i="1" s="1"/>
  <c r="U154" i="1" s="1"/>
  <c r="M162" i="1"/>
  <c r="T162" i="1" s="1"/>
  <c r="U162" i="1" s="1"/>
  <c r="M170" i="1"/>
  <c r="T170" i="1" s="1"/>
  <c r="U170" i="1" s="1"/>
  <c r="M178" i="1"/>
  <c r="T178" i="1" s="1"/>
  <c r="U178" i="1" s="1"/>
  <c r="M186" i="1"/>
  <c r="T186" i="1" s="1"/>
  <c r="U186" i="1" s="1"/>
  <c r="M194" i="1"/>
  <c r="T194" i="1" s="1"/>
  <c r="U194" i="1" s="1"/>
  <c r="M202" i="1"/>
  <c r="T202" i="1" s="1"/>
  <c r="U202" i="1" s="1"/>
  <c r="M210" i="1"/>
  <c r="T210" i="1" s="1"/>
  <c r="U210" i="1" s="1"/>
  <c r="M218" i="1"/>
  <c r="T218" i="1" s="1"/>
  <c r="U218" i="1" s="1"/>
  <c r="Q228" i="1"/>
  <c r="M230" i="1"/>
  <c r="T230" i="1" s="1"/>
  <c r="U230" i="1" s="1"/>
  <c r="M240" i="1"/>
  <c r="T240" i="1" s="1"/>
  <c r="U240" i="1" s="1"/>
  <c r="M250" i="1"/>
  <c r="T250" i="1" s="1"/>
  <c r="U250" i="1" s="1"/>
  <c r="M258" i="1"/>
  <c r="T258" i="1" s="1"/>
  <c r="U258" i="1" s="1"/>
  <c r="Q268" i="1"/>
  <c r="M270" i="1"/>
  <c r="T270" i="1" s="1"/>
  <c r="U270" i="1" s="1"/>
  <c r="M282" i="1"/>
  <c r="T282" i="1" s="1"/>
  <c r="U282" i="1" s="1"/>
  <c r="M290" i="1"/>
  <c r="T290" i="1" s="1"/>
  <c r="U290" i="1" s="1"/>
  <c r="M300" i="1"/>
  <c r="T300" i="1" s="1"/>
  <c r="Q312" i="1"/>
  <c r="M314" i="1"/>
  <c r="T314" i="1" s="1"/>
  <c r="U314" i="1" s="1"/>
  <c r="M316" i="1"/>
  <c r="R326" i="1"/>
  <c r="M328" i="1"/>
  <c r="T328" i="1" s="1"/>
  <c r="U328" i="1" s="1"/>
  <c r="R334" i="1"/>
  <c r="M336" i="1"/>
  <c r="T336" i="1" s="1"/>
  <c r="U336" i="1" s="1"/>
  <c r="M348" i="1"/>
  <c r="T348" i="1" s="1"/>
  <c r="U348" i="1" s="1"/>
  <c r="M356" i="1"/>
  <c r="T356" i="1" s="1"/>
  <c r="U356" i="1" s="1"/>
  <c r="M366" i="1"/>
  <c r="T366" i="1" s="1"/>
  <c r="U366" i="1" s="1"/>
  <c r="M376" i="1"/>
  <c r="T376" i="1" s="1"/>
  <c r="U376" i="1" s="1"/>
  <c r="Q386" i="1"/>
  <c r="M388" i="1"/>
  <c r="T388" i="1" s="1"/>
  <c r="U388" i="1" s="1"/>
  <c r="M390" i="1"/>
  <c r="Q438" i="1"/>
  <c r="R503" i="1"/>
  <c r="M503" i="1"/>
  <c r="T503" i="1" s="1"/>
  <c r="U503" i="1" s="1"/>
  <c r="R527" i="1"/>
  <c r="M527" i="1"/>
  <c r="T527" i="1" s="1"/>
  <c r="U527" i="1" s="1"/>
  <c r="R443" i="1"/>
  <c r="M443" i="1"/>
  <c r="T443" i="1" s="1"/>
  <c r="U443" i="1" s="1"/>
  <c r="M276" i="1"/>
  <c r="M17" i="2" s="1"/>
  <c r="N17" i="2" s="1"/>
  <c r="R316" i="1"/>
  <c r="R315" i="1" s="1"/>
  <c r="R390" i="1"/>
  <c r="R408" i="1"/>
  <c r="M408" i="1"/>
  <c r="R418" i="1"/>
  <c r="M418" i="1"/>
  <c r="T418" i="1" s="1"/>
  <c r="U418" i="1" s="1"/>
  <c r="T440" i="1"/>
  <c r="U440" i="1" s="1"/>
  <c r="R487" i="1"/>
  <c r="M487" i="1"/>
  <c r="T487" i="1" s="1"/>
  <c r="U487" i="1" s="1"/>
  <c r="T702" i="1"/>
  <c r="U702" i="1" s="1"/>
  <c r="M701" i="1"/>
  <c r="M52" i="2" s="1"/>
  <c r="N52" i="2" s="1"/>
  <c r="M73" i="1"/>
  <c r="T73" i="1" s="1"/>
  <c r="U73" i="1" s="1"/>
  <c r="M81" i="1"/>
  <c r="T81" i="1" s="1"/>
  <c r="U81" i="1" s="1"/>
  <c r="M89" i="1"/>
  <c r="T89" i="1" s="1"/>
  <c r="U89" i="1" s="1"/>
  <c r="M97" i="1"/>
  <c r="T97" i="1" s="1"/>
  <c r="U97" i="1" s="1"/>
  <c r="M105" i="1"/>
  <c r="T105" i="1" s="1"/>
  <c r="U105" i="1" s="1"/>
  <c r="M113" i="1"/>
  <c r="T113" i="1" s="1"/>
  <c r="U113" i="1" s="1"/>
  <c r="M121" i="1"/>
  <c r="T121" i="1" s="1"/>
  <c r="U121" i="1" s="1"/>
  <c r="M129" i="1"/>
  <c r="T129" i="1" s="1"/>
  <c r="U129" i="1" s="1"/>
  <c r="M137" i="1"/>
  <c r="T137" i="1" s="1"/>
  <c r="U137" i="1" s="1"/>
  <c r="M145" i="1"/>
  <c r="T145" i="1" s="1"/>
  <c r="U145" i="1" s="1"/>
  <c r="M153" i="1"/>
  <c r="T153" i="1" s="1"/>
  <c r="U153" i="1" s="1"/>
  <c r="M161" i="1"/>
  <c r="T161" i="1" s="1"/>
  <c r="U161" i="1" s="1"/>
  <c r="M169" i="1"/>
  <c r="T169" i="1" s="1"/>
  <c r="U169" i="1" s="1"/>
  <c r="M177" i="1"/>
  <c r="T177" i="1" s="1"/>
  <c r="U177" i="1" s="1"/>
  <c r="M185" i="1"/>
  <c r="T185" i="1" s="1"/>
  <c r="U185" i="1" s="1"/>
  <c r="M193" i="1"/>
  <c r="T193" i="1" s="1"/>
  <c r="U193" i="1" s="1"/>
  <c r="M201" i="1"/>
  <c r="T201" i="1" s="1"/>
  <c r="U201" i="1" s="1"/>
  <c r="M209" i="1"/>
  <c r="T209" i="1" s="1"/>
  <c r="U209" i="1" s="1"/>
  <c r="M217" i="1"/>
  <c r="T217" i="1" s="1"/>
  <c r="U217" i="1" s="1"/>
  <c r="M227" i="1"/>
  <c r="T227" i="1" s="1"/>
  <c r="U227" i="1" s="1"/>
  <c r="M229" i="1"/>
  <c r="Q237" i="1"/>
  <c r="M239" i="1"/>
  <c r="T239" i="1" s="1"/>
  <c r="U239" i="1" s="1"/>
  <c r="M249" i="1"/>
  <c r="T249" i="1" s="1"/>
  <c r="U249" i="1" s="1"/>
  <c r="M257" i="1"/>
  <c r="T257" i="1" s="1"/>
  <c r="U257" i="1" s="1"/>
  <c r="M267" i="1"/>
  <c r="M269" i="1"/>
  <c r="R277" i="1"/>
  <c r="R276" i="1" s="1"/>
  <c r="Q279" i="1"/>
  <c r="M281" i="1"/>
  <c r="T281" i="1" s="1"/>
  <c r="U281" i="1" s="1"/>
  <c r="M289" i="1"/>
  <c r="T289" i="1" s="1"/>
  <c r="U289" i="1" s="1"/>
  <c r="M299" i="1"/>
  <c r="T299" i="1" s="1"/>
  <c r="M313" i="1"/>
  <c r="M327" i="1"/>
  <c r="T327" i="1" s="1"/>
  <c r="U327" i="1" s="1"/>
  <c r="M335" i="1"/>
  <c r="T335" i="1" s="1"/>
  <c r="U335" i="1" s="1"/>
  <c r="R345" i="1"/>
  <c r="R344" i="1" s="1"/>
  <c r="M347" i="1"/>
  <c r="T347" i="1" s="1"/>
  <c r="U347" i="1" s="1"/>
  <c r="M355" i="1"/>
  <c r="T355" i="1" s="1"/>
  <c r="U355" i="1" s="1"/>
  <c r="M365" i="1"/>
  <c r="T365" i="1" s="1"/>
  <c r="U365" i="1" s="1"/>
  <c r="M375" i="1"/>
  <c r="T375" i="1" s="1"/>
  <c r="U375" i="1" s="1"/>
  <c r="R383" i="1"/>
  <c r="R380" i="1" s="1"/>
  <c r="M385" i="1"/>
  <c r="T385" i="1" s="1"/>
  <c r="U385" i="1" s="1"/>
  <c r="M387" i="1"/>
  <c r="R454" i="1"/>
  <c r="M454" i="1"/>
  <c r="T454" i="1" s="1"/>
  <c r="U454" i="1" s="1"/>
  <c r="R511" i="1"/>
  <c r="M511" i="1"/>
  <c r="T511" i="1" s="1"/>
  <c r="U511" i="1" s="1"/>
  <c r="R535" i="1"/>
  <c r="M535" i="1"/>
  <c r="T535" i="1" s="1"/>
  <c r="U535" i="1" s="1"/>
  <c r="M70" i="1"/>
  <c r="T70" i="1" s="1"/>
  <c r="U70" i="1" s="1"/>
  <c r="M78" i="1"/>
  <c r="T78" i="1" s="1"/>
  <c r="U78" i="1" s="1"/>
  <c r="M86" i="1"/>
  <c r="T86" i="1" s="1"/>
  <c r="U86" i="1" s="1"/>
  <c r="M94" i="1"/>
  <c r="T94" i="1" s="1"/>
  <c r="U94" i="1" s="1"/>
  <c r="M102" i="1"/>
  <c r="T102" i="1" s="1"/>
  <c r="U102" i="1" s="1"/>
  <c r="M110" i="1"/>
  <c r="T110" i="1" s="1"/>
  <c r="U110" i="1" s="1"/>
  <c r="M118" i="1"/>
  <c r="T118" i="1" s="1"/>
  <c r="U118" i="1" s="1"/>
  <c r="M126" i="1"/>
  <c r="T126" i="1" s="1"/>
  <c r="U126" i="1" s="1"/>
  <c r="M134" i="1"/>
  <c r="T134" i="1" s="1"/>
  <c r="U134" i="1" s="1"/>
  <c r="M190" i="1"/>
  <c r="T190" i="1" s="1"/>
  <c r="U190" i="1" s="1"/>
  <c r="M198" i="1"/>
  <c r="T198" i="1" s="1"/>
  <c r="U198" i="1" s="1"/>
  <c r="T225" i="1"/>
  <c r="U225" i="1" s="1"/>
  <c r="T263" i="1"/>
  <c r="T297" i="1"/>
  <c r="M409" i="1"/>
  <c r="T409" i="1" s="1"/>
  <c r="U409" i="1" s="1"/>
  <c r="R409" i="1"/>
  <c r="N419" i="1"/>
  <c r="N20" i="1" s="1"/>
  <c r="R430" i="1"/>
  <c r="M430" i="1"/>
  <c r="T430" i="1" s="1"/>
  <c r="U430" i="1" s="1"/>
  <c r="R471" i="1"/>
  <c r="M471" i="1"/>
  <c r="T471" i="1" s="1"/>
  <c r="U471" i="1" s="1"/>
  <c r="M367" i="1"/>
  <c r="T367" i="1" s="1"/>
  <c r="U367" i="1" s="1"/>
  <c r="M377" i="1"/>
  <c r="T377" i="1" s="1"/>
  <c r="U377" i="1" s="1"/>
  <c r="R406" i="1"/>
  <c r="M406" i="1"/>
  <c r="T406" i="1" s="1"/>
  <c r="U406" i="1" s="1"/>
  <c r="R495" i="1"/>
  <c r="M495" i="1"/>
  <c r="T495" i="1" s="1"/>
  <c r="U495" i="1" s="1"/>
  <c r="R543" i="1"/>
  <c r="M543" i="1"/>
  <c r="T543" i="1" s="1"/>
  <c r="U543" i="1" s="1"/>
  <c r="M456" i="1"/>
  <c r="M37" i="2" s="1"/>
  <c r="N37" i="2" s="1"/>
  <c r="T457" i="1"/>
  <c r="U457" i="1" s="1"/>
  <c r="R519" i="1"/>
  <c r="M519" i="1"/>
  <c r="T519" i="1" s="1"/>
  <c r="U519" i="1" s="1"/>
  <c r="R551" i="1"/>
  <c r="M551" i="1"/>
  <c r="T551" i="1" s="1"/>
  <c r="U551" i="1" s="1"/>
  <c r="R479" i="1"/>
  <c r="M479" i="1"/>
  <c r="T479" i="1" s="1"/>
  <c r="U479" i="1" s="1"/>
  <c r="M567" i="1"/>
  <c r="T567" i="1" s="1"/>
  <c r="U567" i="1" s="1"/>
  <c r="R567" i="1"/>
  <c r="R423" i="1"/>
  <c r="R431" i="1"/>
  <c r="R444" i="1"/>
  <c r="R455" i="1"/>
  <c r="R457" i="1"/>
  <c r="R456" i="1" s="1"/>
  <c r="M466" i="1"/>
  <c r="R472" i="1"/>
  <c r="R480" i="1"/>
  <c r="R488" i="1"/>
  <c r="R496" i="1"/>
  <c r="R504" i="1"/>
  <c r="R512" i="1"/>
  <c r="R528" i="1"/>
  <c r="R536" i="1"/>
  <c r="R544" i="1"/>
  <c r="R552" i="1"/>
  <c r="R560" i="1"/>
  <c r="R575" i="1"/>
  <c r="U655" i="1"/>
  <c r="T655" i="1"/>
  <c r="L419" i="1"/>
  <c r="L20" i="1" s="1"/>
  <c r="U659" i="1"/>
  <c r="T659" i="1"/>
  <c r="M410" i="1"/>
  <c r="T410" i="1" s="1"/>
  <c r="U410" i="1" s="1"/>
  <c r="Q456" i="1"/>
  <c r="M473" i="1"/>
  <c r="T473" i="1" s="1"/>
  <c r="U473" i="1" s="1"/>
  <c r="M481" i="1"/>
  <c r="T481" i="1" s="1"/>
  <c r="U481" i="1" s="1"/>
  <c r="M489" i="1"/>
  <c r="T489" i="1" s="1"/>
  <c r="U489" i="1" s="1"/>
  <c r="M497" i="1"/>
  <c r="T497" i="1" s="1"/>
  <c r="U497" i="1" s="1"/>
  <c r="M505" i="1"/>
  <c r="T505" i="1" s="1"/>
  <c r="U505" i="1" s="1"/>
  <c r="M513" i="1"/>
  <c r="T513" i="1" s="1"/>
  <c r="U513" i="1" s="1"/>
  <c r="M521" i="1"/>
  <c r="T521" i="1" s="1"/>
  <c r="U521" i="1" s="1"/>
  <c r="M529" i="1"/>
  <c r="T529" i="1" s="1"/>
  <c r="U529" i="1" s="1"/>
  <c r="M537" i="1"/>
  <c r="T537" i="1" s="1"/>
  <c r="U537" i="1" s="1"/>
  <c r="M545" i="1"/>
  <c r="T545" i="1" s="1"/>
  <c r="U545" i="1" s="1"/>
  <c r="M553" i="1"/>
  <c r="T553" i="1" s="1"/>
  <c r="U553" i="1" s="1"/>
  <c r="M580" i="1"/>
  <c r="T580" i="1" s="1"/>
  <c r="U580" i="1" s="1"/>
  <c r="R580" i="1"/>
  <c r="U660" i="1"/>
  <c r="T660" i="1"/>
  <c r="M421" i="1"/>
  <c r="M429" i="1"/>
  <c r="T429" i="1" s="1"/>
  <c r="U429" i="1" s="1"/>
  <c r="M437" i="1"/>
  <c r="T437" i="1" s="1"/>
  <c r="U437" i="1" s="1"/>
  <c r="M442" i="1"/>
  <c r="T442" i="1" s="1"/>
  <c r="U442" i="1" s="1"/>
  <c r="M450" i="1"/>
  <c r="T450" i="1" s="1"/>
  <c r="U450" i="1" s="1"/>
  <c r="M453" i="1"/>
  <c r="T453" i="1" s="1"/>
  <c r="U453" i="1" s="1"/>
  <c r="M588" i="1"/>
  <c r="T588" i="1" s="1"/>
  <c r="U588" i="1" s="1"/>
  <c r="R588" i="1"/>
  <c r="T704" i="1"/>
  <c r="U704" i="1" s="1"/>
  <c r="M703" i="1"/>
  <c r="M53" i="2" s="1"/>
  <c r="N53" i="2" s="1"/>
  <c r="M678" i="1"/>
  <c r="M49" i="2" s="1"/>
  <c r="N49" i="2" s="1"/>
  <c r="T679" i="1"/>
  <c r="U679" i="1" s="1"/>
  <c r="R703" i="1"/>
  <c r="M637" i="1"/>
  <c r="M42" i="2" s="1"/>
  <c r="N42" i="2" s="1"/>
  <c r="T638" i="1"/>
  <c r="U638" i="1" s="1"/>
  <c r="R709" i="1"/>
  <c r="R596" i="1"/>
  <c r="R604" i="1"/>
  <c r="R612" i="1"/>
  <c r="R620" i="1"/>
  <c r="R628" i="1"/>
  <c r="R636" i="1"/>
  <c r="R638" i="1"/>
  <c r="R637" i="1" s="1"/>
  <c r="R650" i="1"/>
  <c r="R660" i="1"/>
  <c r="R672" i="1"/>
  <c r="R686" i="1"/>
  <c r="R694" i="1"/>
  <c r="M706" i="1"/>
  <c r="M54" i="2" s="1"/>
  <c r="N54" i="2" s="1"/>
  <c r="R719" i="1"/>
  <c r="R725" i="1"/>
  <c r="R727" i="1"/>
  <c r="T781" i="1"/>
  <c r="U781" i="1" s="1"/>
  <c r="M563" i="1"/>
  <c r="T563" i="1" s="1"/>
  <c r="U563" i="1" s="1"/>
  <c r="M571" i="1"/>
  <c r="T571" i="1" s="1"/>
  <c r="U571" i="1" s="1"/>
  <c r="M579" i="1"/>
  <c r="T579" i="1" s="1"/>
  <c r="U579" i="1" s="1"/>
  <c r="M587" i="1"/>
  <c r="T587" i="1" s="1"/>
  <c r="U587" i="1" s="1"/>
  <c r="M595" i="1"/>
  <c r="T595" i="1" s="1"/>
  <c r="U595" i="1" s="1"/>
  <c r="M603" i="1"/>
  <c r="T603" i="1" s="1"/>
  <c r="U603" i="1" s="1"/>
  <c r="M611" i="1"/>
  <c r="T611" i="1" s="1"/>
  <c r="U611" i="1" s="1"/>
  <c r="M649" i="1"/>
  <c r="T649" i="1" s="1"/>
  <c r="U649" i="1" s="1"/>
  <c r="M671" i="1"/>
  <c r="T671" i="1" s="1"/>
  <c r="U671" i="1" s="1"/>
  <c r="M697" i="1"/>
  <c r="M51" i="2" s="1"/>
  <c r="N51" i="2" s="1"/>
  <c r="Q709" i="1"/>
  <c r="R767" i="1"/>
  <c r="R801" i="1"/>
  <c r="S823" i="1"/>
  <c r="Q678" i="1"/>
  <c r="R698" i="1"/>
  <c r="R697" i="1" s="1"/>
  <c r="R760" i="1"/>
  <c r="N823" i="1"/>
  <c r="M565" i="1"/>
  <c r="T565" i="1" s="1"/>
  <c r="U565" i="1" s="1"/>
  <c r="M573" i="1"/>
  <c r="T573" i="1" s="1"/>
  <c r="U573" i="1" s="1"/>
  <c r="M581" i="1"/>
  <c r="T581" i="1" s="1"/>
  <c r="U581" i="1" s="1"/>
  <c r="M589" i="1"/>
  <c r="T589" i="1" s="1"/>
  <c r="U589" i="1" s="1"/>
  <c r="M597" i="1"/>
  <c r="T597" i="1" s="1"/>
  <c r="U597" i="1" s="1"/>
  <c r="M605" i="1"/>
  <c r="T605" i="1" s="1"/>
  <c r="U605" i="1" s="1"/>
  <c r="M613" i="1"/>
  <c r="T613" i="1" s="1"/>
  <c r="U613" i="1" s="1"/>
  <c r="M629" i="1"/>
  <c r="T629" i="1" s="1"/>
  <c r="U629" i="1" s="1"/>
  <c r="Q637" i="1"/>
  <c r="M641" i="1"/>
  <c r="T641" i="1" s="1"/>
  <c r="U641" i="1" s="1"/>
  <c r="M651" i="1"/>
  <c r="T651" i="1" s="1"/>
  <c r="U651" i="1" s="1"/>
  <c r="M653" i="1"/>
  <c r="M661" i="1"/>
  <c r="M663" i="1"/>
  <c r="M673" i="1"/>
  <c r="T673" i="1" s="1"/>
  <c r="U673" i="1" s="1"/>
  <c r="M687" i="1"/>
  <c r="T687" i="1" s="1"/>
  <c r="U687" i="1" s="1"/>
  <c r="M695" i="1"/>
  <c r="T695" i="1" s="1"/>
  <c r="U695" i="1" s="1"/>
  <c r="M710" i="1"/>
  <c r="M720" i="1"/>
  <c r="T720" i="1" s="1"/>
  <c r="U720" i="1" s="1"/>
  <c r="M722" i="1"/>
  <c r="T722" i="1" s="1"/>
  <c r="U722" i="1" s="1"/>
  <c r="T766" i="1"/>
  <c r="U766" i="1" s="1"/>
  <c r="M765" i="1"/>
  <c r="M61" i="2" s="1"/>
  <c r="N61" i="2" s="1"/>
  <c r="R733" i="1"/>
  <c r="T742" i="1"/>
  <c r="U742" i="1" s="1"/>
  <c r="T907" i="1"/>
  <c r="U907" i="1" s="1"/>
  <c r="M906" i="1"/>
  <c r="M79" i="2" s="1"/>
  <c r="N79" i="2" s="1"/>
  <c r="Q717" i="1"/>
  <c r="M729" i="1"/>
  <c r="T729" i="1" s="1"/>
  <c r="U729" i="1" s="1"/>
  <c r="T768" i="1"/>
  <c r="U768" i="1" s="1"/>
  <c r="M767" i="1"/>
  <c r="M62" i="2" s="1"/>
  <c r="N62" i="2" s="1"/>
  <c r="M785" i="1"/>
  <c r="T785" i="1" s="1"/>
  <c r="U785" i="1" s="1"/>
  <c r="M786" i="1"/>
  <c r="T786" i="1" s="1"/>
  <c r="U786" i="1" s="1"/>
  <c r="M794" i="1"/>
  <c r="T794" i="1" s="1"/>
  <c r="U794" i="1" s="1"/>
  <c r="M806" i="1"/>
  <c r="T806" i="1" s="1"/>
  <c r="U806" i="1" s="1"/>
  <c r="M814" i="1"/>
  <c r="T814" i="1" s="1"/>
  <c r="U814" i="1" s="1"/>
  <c r="M827" i="1"/>
  <c r="T827" i="1" s="1"/>
  <c r="U827" i="1" s="1"/>
  <c r="M843" i="1"/>
  <c r="T843" i="1" s="1"/>
  <c r="U843" i="1" s="1"/>
  <c r="M851" i="1"/>
  <c r="T851" i="1" s="1"/>
  <c r="U851" i="1" s="1"/>
  <c r="M865" i="1"/>
  <c r="T865" i="1" s="1"/>
  <c r="U865" i="1" s="1"/>
  <c r="M873" i="1"/>
  <c r="T873" i="1" s="1"/>
  <c r="U873" i="1" s="1"/>
  <c r="M885" i="1"/>
  <c r="T885" i="1" s="1"/>
  <c r="U885" i="1" s="1"/>
  <c r="M887" i="1"/>
  <c r="M905" i="1"/>
  <c r="T905" i="1" s="1"/>
  <c r="U905" i="1" s="1"/>
  <c r="M929" i="1"/>
  <c r="T929" i="1" s="1"/>
  <c r="U929" i="1" s="1"/>
  <c r="R944" i="1"/>
  <c r="M944" i="1"/>
  <c r="T944" i="1" s="1"/>
  <c r="U944" i="1" s="1"/>
  <c r="D900" i="3"/>
  <c r="C902" i="3"/>
  <c r="Q912" i="1" s="1"/>
  <c r="R1035" i="1"/>
  <c r="M1035" i="1"/>
  <c r="M737" i="1"/>
  <c r="T737" i="1" s="1"/>
  <c r="U737" i="1" s="1"/>
  <c r="M747" i="1"/>
  <c r="T747" i="1" s="1"/>
  <c r="U747" i="1" s="1"/>
  <c r="M749" i="1"/>
  <c r="M775" i="1"/>
  <c r="T775" i="1" s="1"/>
  <c r="U775" i="1" s="1"/>
  <c r="M788" i="1"/>
  <c r="T788" i="1" s="1"/>
  <c r="U788" i="1" s="1"/>
  <c r="M796" i="1"/>
  <c r="T796" i="1" s="1"/>
  <c r="U796" i="1" s="1"/>
  <c r="Q894" i="1"/>
  <c r="R930" i="1"/>
  <c r="M930" i="1"/>
  <c r="T930" i="1" s="1"/>
  <c r="U930" i="1" s="1"/>
  <c r="J961" i="1"/>
  <c r="M980" i="1"/>
  <c r="R980" i="1"/>
  <c r="M988" i="1"/>
  <c r="R988" i="1"/>
  <c r="M996" i="1"/>
  <c r="R996" i="1"/>
  <c r="M854" i="1"/>
  <c r="M70" i="2" s="1"/>
  <c r="N70" i="2" s="1"/>
  <c r="M856" i="1"/>
  <c r="M71" i="2" s="1"/>
  <c r="N71" i="2" s="1"/>
  <c r="R916" i="1"/>
  <c r="M916" i="1"/>
  <c r="T916" i="1" s="1"/>
  <c r="U916" i="1" s="1"/>
  <c r="M964" i="1"/>
  <c r="R964" i="1"/>
  <c r="M972" i="1"/>
  <c r="R972" i="1"/>
  <c r="M1028" i="1"/>
  <c r="R1028" i="1"/>
  <c r="R1024" i="1" s="1"/>
  <c r="C11" i="3"/>
  <c r="R749" i="1"/>
  <c r="M751" i="1"/>
  <c r="T751" i="1" s="1"/>
  <c r="U751" i="1" s="1"/>
  <c r="M777" i="1"/>
  <c r="T777" i="1" s="1"/>
  <c r="U777" i="1" s="1"/>
  <c r="M790" i="1"/>
  <c r="T790" i="1" s="1"/>
  <c r="U790" i="1" s="1"/>
  <c r="M800" i="1"/>
  <c r="M802" i="1"/>
  <c r="M810" i="1"/>
  <c r="T810" i="1" s="1"/>
  <c r="U810" i="1" s="1"/>
  <c r="M818" i="1"/>
  <c r="T818" i="1" s="1"/>
  <c r="U818" i="1" s="1"/>
  <c r="M831" i="1"/>
  <c r="T831" i="1" s="1"/>
  <c r="U831" i="1" s="1"/>
  <c r="M839" i="1"/>
  <c r="T839" i="1" s="1"/>
  <c r="U839" i="1" s="1"/>
  <c r="M847" i="1"/>
  <c r="T847" i="1" s="1"/>
  <c r="U847" i="1" s="1"/>
  <c r="M861" i="1"/>
  <c r="T861" i="1" s="1"/>
  <c r="U861" i="1" s="1"/>
  <c r="M869" i="1"/>
  <c r="T869" i="1" s="1"/>
  <c r="U869" i="1" s="1"/>
  <c r="M889" i="1"/>
  <c r="M900" i="1"/>
  <c r="T900" i="1" s="1"/>
  <c r="U900" i="1" s="1"/>
  <c r="Q906" i="1"/>
  <c r="R920" i="1"/>
  <c r="M936" i="1"/>
  <c r="T936" i="1" s="1"/>
  <c r="U936" i="1" s="1"/>
  <c r="R936" i="1"/>
  <c r="M946" i="1"/>
  <c r="T946" i="1" s="1"/>
  <c r="U946" i="1" s="1"/>
  <c r="R946" i="1"/>
  <c r="D91" i="2"/>
  <c r="M1024" i="1"/>
  <c r="M98" i="2" s="1"/>
  <c r="N98" i="2" s="1"/>
  <c r="M922" i="1"/>
  <c r="M83" i="2" s="1"/>
  <c r="N83" i="2" s="1"/>
  <c r="T924" i="1"/>
  <c r="U924" i="1" s="1"/>
  <c r="R932" i="1"/>
  <c r="R931" i="1" s="1"/>
  <c r="M932" i="1"/>
  <c r="Q931" i="1"/>
  <c r="N961" i="1"/>
  <c r="D96" i="2"/>
  <c r="L961" i="1"/>
  <c r="D68" i="2"/>
  <c r="M894" i="1"/>
  <c r="M77" i="2" s="1"/>
  <c r="N77" i="2" s="1"/>
  <c r="M1020" i="1"/>
  <c r="R1020" i="1"/>
  <c r="I68" i="2"/>
  <c r="R1037" i="1"/>
  <c r="D450" i="3"/>
  <c r="C451" i="3"/>
  <c r="M945" i="1"/>
  <c r="T945" i="1" s="1"/>
  <c r="U945" i="1" s="1"/>
  <c r="R1007" i="1"/>
  <c r="R1006" i="1" s="1"/>
  <c r="Q1029" i="1"/>
  <c r="Q1037" i="1"/>
  <c r="P10" i="3"/>
  <c r="C401" i="3"/>
  <c r="Q411" i="1" s="1"/>
  <c r="D397" i="3"/>
  <c r="Q1024" i="1"/>
  <c r="I1032" i="1"/>
  <c r="I961" i="1" s="1"/>
  <c r="I91" i="2"/>
  <c r="G10" i="3"/>
  <c r="O10" i="3"/>
  <c r="C389" i="3"/>
  <c r="Q399" i="1" s="1"/>
  <c r="D385" i="3"/>
  <c r="R1005" i="1"/>
  <c r="R1004" i="1" s="1"/>
  <c r="M966" i="1"/>
  <c r="M982" i="1"/>
  <c r="M990" i="1"/>
  <c r="M998" i="1"/>
  <c r="M1011" i="1"/>
  <c r="M1013" i="1"/>
  <c r="M1015" i="1"/>
  <c r="M1017" i="1"/>
  <c r="M1022" i="1"/>
  <c r="M1030" i="1"/>
  <c r="M1029" i="1" s="1"/>
  <c r="M99" i="2" s="1"/>
  <c r="N99" i="2" s="1"/>
  <c r="M1038" i="1"/>
  <c r="M1037" i="1" s="1"/>
  <c r="M102" i="2" s="1"/>
  <c r="N102" i="2" s="1"/>
  <c r="I34" i="2"/>
  <c r="I9" i="2" s="1"/>
  <c r="D410" i="3"/>
  <c r="C412" i="3"/>
  <c r="J10" i="3"/>
  <c r="C216" i="3"/>
  <c r="Q226" i="1" s="1"/>
  <c r="D213" i="3"/>
  <c r="C227" i="3"/>
  <c r="C315" i="3"/>
  <c r="D314" i="3"/>
  <c r="C330" i="3"/>
  <c r="Q340" i="1" s="1"/>
  <c r="D328" i="3"/>
  <c r="D428" i="3"/>
  <c r="R642" i="3"/>
  <c r="C647" i="3"/>
  <c r="Q657" i="1" s="1"/>
  <c r="C672" i="3"/>
  <c r="D671" i="3"/>
  <c r="D1022" i="3"/>
  <c r="D1021" i="3" s="1"/>
  <c r="C1025" i="3"/>
  <c r="Q1036" i="1" s="1"/>
  <c r="Q1033" i="1" s="1"/>
  <c r="Q1032" i="1" s="1"/>
  <c r="D227" i="3"/>
  <c r="D633" i="3"/>
  <c r="C636" i="3"/>
  <c r="Q646" i="1" s="1"/>
  <c r="R950" i="3"/>
  <c r="H950" i="3"/>
  <c r="P950" i="3"/>
  <c r="C258" i="3"/>
  <c r="C385" i="3"/>
  <c r="F409" i="3"/>
  <c r="F10" i="3" s="1"/>
  <c r="N409" i="3"/>
  <c r="N10" i="3" s="1"/>
  <c r="I454" i="3"/>
  <c r="C777" i="3"/>
  <c r="Q787" i="1" s="1"/>
  <c r="R770" i="3"/>
  <c r="J950" i="3"/>
  <c r="C963" i="3"/>
  <c r="Q974" i="1" s="1"/>
  <c r="D951" i="3"/>
  <c r="D258" i="3"/>
  <c r="C381" i="3"/>
  <c r="Q391" i="1" s="1"/>
  <c r="Q389" i="1" s="1"/>
  <c r="D379" i="3"/>
  <c r="C428" i="3"/>
  <c r="P455" i="3"/>
  <c r="C360" i="3"/>
  <c r="C393" i="3"/>
  <c r="D392" i="3"/>
  <c r="C763" i="3"/>
  <c r="D761" i="3"/>
  <c r="D218" i="3"/>
  <c r="D234" i="3"/>
  <c r="C255" i="3"/>
  <c r="Q265" i="1" s="1"/>
  <c r="D269" i="3"/>
  <c r="D285" i="3"/>
  <c r="C312" i="3"/>
  <c r="Q322" i="1" s="1"/>
  <c r="C350" i="3"/>
  <c r="D349" i="3"/>
  <c r="C362" i="3"/>
  <c r="Q372" i="1" s="1"/>
  <c r="D360" i="3"/>
  <c r="L454" i="3"/>
  <c r="D455" i="3"/>
  <c r="C909" i="3"/>
  <c r="D908" i="3"/>
  <c r="C916" i="3"/>
  <c r="R915" i="3"/>
  <c r="C269" i="3"/>
  <c r="C285" i="3"/>
  <c r="C309" i="3"/>
  <c r="D308" i="3"/>
  <c r="C319" i="3"/>
  <c r="Q329" i="1" s="1"/>
  <c r="D334" i="3"/>
  <c r="C510" i="3"/>
  <c r="Q520" i="1" s="1"/>
  <c r="Q465" i="1" s="1"/>
  <c r="C753" i="3"/>
  <c r="D752" i="3"/>
  <c r="C818" i="3"/>
  <c r="Q828" i="1" s="1"/>
  <c r="R814" i="3"/>
  <c r="R813" i="3" s="1"/>
  <c r="C892" i="3"/>
  <c r="D891" i="3"/>
  <c r="C644" i="3"/>
  <c r="D642" i="3"/>
  <c r="D699" i="3"/>
  <c r="D770" i="3"/>
  <c r="C772" i="3"/>
  <c r="Q782" i="1" s="1"/>
  <c r="C815" i="3"/>
  <c r="D814" i="3"/>
  <c r="C878" i="3"/>
  <c r="C944" i="3"/>
  <c r="Q954" i="1" s="1"/>
  <c r="C632" i="3"/>
  <c r="Q642" i="1" s="1"/>
  <c r="R629" i="3"/>
  <c r="R454" i="3" s="1"/>
  <c r="C654" i="3"/>
  <c r="D652" i="3"/>
  <c r="P738" i="3"/>
  <c r="L813" i="3"/>
  <c r="E813" i="3"/>
  <c r="M813" i="3"/>
  <c r="C998" i="3"/>
  <c r="C633" i="3"/>
  <c r="C667" i="3"/>
  <c r="Q677" i="1" s="1"/>
  <c r="D693" i="3"/>
  <c r="C742" i="3"/>
  <c r="Q752" i="1" s="1"/>
  <c r="Q748" i="1" s="1"/>
  <c r="D738" i="3"/>
  <c r="C749" i="3"/>
  <c r="Q759" i="1" s="1"/>
  <c r="C787" i="3"/>
  <c r="Q797" i="1" s="1"/>
  <c r="P814" i="3"/>
  <c r="P813" i="3" s="1"/>
  <c r="C825" i="3"/>
  <c r="Q835" i="1" s="1"/>
  <c r="C939" i="3"/>
  <c r="C538" i="3"/>
  <c r="Q548" i="1" s="1"/>
  <c r="C611" i="3"/>
  <c r="Q621" i="1" s="1"/>
  <c r="C630" i="3"/>
  <c r="D629" i="3"/>
  <c r="C791" i="3"/>
  <c r="F813" i="3"/>
  <c r="N813" i="3"/>
  <c r="C905" i="3"/>
  <c r="D903" i="3"/>
  <c r="C925" i="3"/>
  <c r="D924" i="3"/>
  <c r="G950" i="3"/>
  <c r="O950" i="3"/>
  <c r="D1013" i="3"/>
  <c r="C665" i="3"/>
  <c r="D664" i="3"/>
  <c r="P671" i="3"/>
  <c r="C757" i="3"/>
  <c r="D791" i="3"/>
  <c r="G813" i="3"/>
  <c r="O813" i="3"/>
  <c r="D998" i="3"/>
  <c r="C1001" i="3"/>
  <c r="Q1012" i="1" s="1"/>
  <c r="C1013" i="3"/>
  <c r="C1022" i="3"/>
  <c r="C1021" i="3" s="1"/>
  <c r="C549" i="3"/>
  <c r="Q559" i="1" s="1"/>
  <c r="C609" i="3"/>
  <c r="Q619" i="1" s="1"/>
  <c r="C658" i="3"/>
  <c r="D657" i="3"/>
  <c r="C696" i="3"/>
  <c r="C707" i="3"/>
  <c r="C733" i="3"/>
  <c r="D731" i="3"/>
  <c r="C746" i="3"/>
  <c r="Q756" i="1" s="1"/>
  <c r="D757" i="3"/>
  <c r="C788" i="3"/>
  <c r="Q798" i="1" s="1"/>
  <c r="R791" i="3"/>
  <c r="Q813" i="3"/>
  <c r="C849" i="3"/>
  <c r="C866" i="3"/>
  <c r="D865" i="3"/>
  <c r="C871" i="3"/>
  <c r="Q881" i="1" s="1"/>
  <c r="Q877" i="1" s="1"/>
  <c r="D867" i="3"/>
  <c r="C900" i="3"/>
  <c r="D991" i="3"/>
  <c r="D995" i="3"/>
  <c r="D915" i="3"/>
  <c r="E900" i="3"/>
  <c r="M962" i="1" l="1"/>
  <c r="C848" i="3"/>
  <c r="Q859" i="1"/>
  <c r="Q1009" i="1"/>
  <c r="M97" i="2" s="1"/>
  <c r="N97" i="2" s="1"/>
  <c r="R1012" i="1"/>
  <c r="R1009" i="1" s="1"/>
  <c r="M1012" i="1"/>
  <c r="R329" i="1"/>
  <c r="M329" i="1"/>
  <c r="T329" i="1" s="1"/>
  <c r="U329" i="1" s="1"/>
  <c r="C455" i="3"/>
  <c r="C664" i="3"/>
  <c r="Q675" i="1"/>
  <c r="R677" i="1"/>
  <c r="M677" i="1"/>
  <c r="T677" i="1" s="1"/>
  <c r="U677" i="1" s="1"/>
  <c r="R782" i="1"/>
  <c r="M782" i="1"/>
  <c r="Q780" i="1"/>
  <c r="D454" i="3"/>
  <c r="R646" i="1"/>
  <c r="R643" i="1" s="1"/>
  <c r="M646" i="1"/>
  <c r="M657" i="1"/>
  <c r="R657" i="1"/>
  <c r="U661" i="1"/>
  <c r="T661" i="1"/>
  <c r="T229" i="1"/>
  <c r="U229" i="1" s="1"/>
  <c r="M228" i="1"/>
  <c r="M12" i="2" s="1"/>
  <c r="N12" i="2" s="1"/>
  <c r="T800" i="1"/>
  <c r="U800" i="1" s="1"/>
  <c r="M799" i="1"/>
  <c r="M65" i="2" s="1"/>
  <c r="N65" i="2" s="1"/>
  <c r="C924" i="3"/>
  <c r="Q935" i="1"/>
  <c r="C903" i="3"/>
  <c r="Q915" i="1"/>
  <c r="C814" i="3"/>
  <c r="Q825" i="1"/>
  <c r="C908" i="3"/>
  <c r="Q919" i="1"/>
  <c r="R835" i="1"/>
  <c r="M835" i="1"/>
  <c r="T835" i="1" s="1"/>
  <c r="U835" i="1" s="1"/>
  <c r="C652" i="3"/>
  <c r="Q664" i="1"/>
  <c r="R828" i="1"/>
  <c r="M828" i="1"/>
  <c r="T828" i="1" s="1"/>
  <c r="U828" i="1" s="1"/>
  <c r="C308" i="3"/>
  <c r="Q319" i="1"/>
  <c r="C392" i="3"/>
  <c r="Q403" i="1"/>
  <c r="D950" i="3"/>
  <c r="C397" i="3"/>
  <c r="T889" i="1"/>
  <c r="U889" i="1" s="1"/>
  <c r="M888" i="1"/>
  <c r="M76" i="2" s="1"/>
  <c r="N76" i="2" s="1"/>
  <c r="T802" i="1"/>
  <c r="U802" i="1" s="1"/>
  <c r="M801" i="1"/>
  <c r="M66" i="2" s="1"/>
  <c r="N66" i="2" s="1"/>
  <c r="T653" i="1"/>
  <c r="U653" i="1" s="1"/>
  <c r="M438" i="1"/>
  <c r="M36" i="2" s="1"/>
  <c r="N36" i="2" s="1"/>
  <c r="M344" i="1"/>
  <c r="M25" i="2" s="1"/>
  <c r="N25" i="2" s="1"/>
  <c r="R974" i="1"/>
  <c r="R962" i="1" s="1"/>
  <c r="R961" i="1" s="1"/>
  <c r="M974" i="1"/>
  <c r="R619" i="1"/>
  <c r="M619" i="1"/>
  <c r="T619" i="1" s="1"/>
  <c r="U619" i="1" s="1"/>
  <c r="C738" i="3"/>
  <c r="M797" i="1"/>
  <c r="T797" i="1" s="1"/>
  <c r="U797" i="1" s="1"/>
  <c r="R797" i="1"/>
  <c r="C951" i="3"/>
  <c r="C950" i="3" s="1"/>
  <c r="R642" i="1"/>
  <c r="M642" i="1"/>
  <c r="T642" i="1" s="1"/>
  <c r="U642" i="1" s="1"/>
  <c r="C752" i="3"/>
  <c r="Q763" i="1"/>
  <c r="R372" i="1"/>
  <c r="R370" i="1" s="1"/>
  <c r="M372" i="1"/>
  <c r="Q370" i="1"/>
  <c r="C234" i="3"/>
  <c r="C379" i="3"/>
  <c r="M411" i="1"/>
  <c r="T411" i="1" s="1"/>
  <c r="U411" i="1" s="1"/>
  <c r="R411" i="1"/>
  <c r="T887" i="1"/>
  <c r="U887" i="1" s="1"/>
  <c r="M886" i="1"/>
  <c r="M75" i="2" s="1"/>
  <c r="N75" i="2" s="1"/>
  <c r="T710" i="1"/>
  <c r="U710" i="1" s="1"/>
  <c r="M709" i="1"/>
  <c r="M55" i="2" s="1"/>
  <c r="N55" i="2" s="1"/>
  <c r="T466" i="1"/>
  <c r="U466" i="1" s="1"/>
  <c r="M465" i="1"/>
  <c r="T267" i="1"/>
  <c r="U267" i="1" s="1"/>
  <c r="M266" i="1"/>
  <c r="M15" i="2" s="1"/>
  <c r="N15" i="2" s="1"/>
  <c r="T390" i="1"/>
  <c r="U390" i="1" s="1"/>
  <c r="R265" i="1"/>
  <c r="R244" i="1" s="1"/>
  <c r="M265" i="1"/>
  <c r="T265" i="1" s="1"/>
  <c r="U265" i="1" s="1"/>
  <c r="C450" i="3"/>
  <c r="Q461" i="1"/>
  <c r="R881" i="1"/>
  <c r="R877" i="1" s="1"/>
  <c r="M881" i="1"/>
  <c r="R756" i="1"/>
  <c r="M756" i="1"/>
  <c r="T756" i="1" s="1"/>
  <c r="U756" i="1" s="1"/>
  <c r="R559" i="1"/>
  <c r="M559" i="1"/>
  <c r="T559" i="1" s="1"/>
  <c r="U559" i="1" s="1"/>
  <c r="C770" i="3"/>
  <c r="R759" i="1"/>
  <c r="R757" i="1" s="1"/>
  <c r="M759" i="1"/>
  <c r="Q757" i="1"/>
  <c r="M954" i="1"/>
  <c r="Q949" i="1"/>
  <c r="R954" i="1"/>
  <c r="R949" i="1" s="1"/>
  <c r="C642" i="3"/>
  <c r="Q654" i="1"/>
  <c r="C747" i="3"/>
  <c r="P454" i="3"/>
  <c r="C213" i="3"/>
  <c r="M1036" i="1"/>
  <c r="M1033" i="1" s="1"/>
  <c r="R1036" i="1"/>
  <c r="R1033" i="1" s="1"/>
  <c r="R1032" i="1" s="1"/>
  <c r="C410" i="3"/>
  <c r="Q422" i="1"/>
  <c r="R399" i="1"/>
  <c r="R395" i="1" s="1"/>
  <c r="M399" i="1"/>
  <c r="Q395" i="1"/>
  <c r="T749" i="1"/>
  <c r="U749" i="1" s="1"/>
  <c r="Q643" i="1"/>
  <c r="M717" i="1"/>
  <c r="M56" i="2" s="1"/>
  <c r="N56" i="2" s="1"/>
  <c r="T313" i="1"/>
  <c r="U313" i="1" s="1"/>
  <c r="M312" i="1"/>
  <c r="M20" i="2" s="1"/>
  <c r="N20" i="2" s="1"/>
  <c r="M237" i="1"/>
  <c r="M13" i="2" s="1"/>
  <c r="N13" i="2" s="1"/>
  <c r="M279" i="1"/>
  <c r="M18" i="2" s="1"/>
  <c r="N18" i="2" s="1"/>
  <c r="M520" i="1"/>
  <c r="T520" i="1" s="1"/>
  <c r="U520" i="1" s="1"/>
  <c r="R520" i="1"/>
  <c r="R465" i="1" s="1"/>
  <c r="C349" i="3"/>
  <c r="Q360" i="1"/>
  <c r="R340" i="1"/>
  <c r="R338" i="1" s="1"/>
  <c r="M340" i="1"/>
  <c r="Q338" i="1"/>
  <c r="D409" i="3"/>
  <c r="D10" i="3" s="1"/>
  <c r="M1009" i="1"/>
  <c r="R912" i="1"/>
  <c r="R910" i="1" s="1"/>
  <c r="M912" i="1"/>
  <c r="Q910" i="1"/>
  <c r="M407" i="1"/>
  <c r="M33" i="2" s="1"/>
  <c r="N33" i="2" s="1"/>
  <c r="T408" i="1"/>
  <c r="U408" i="1" s="1"/>
  <c r="R438" i="1"/>
  <c r="C657" i="3"/>
  <c r="Q668" i="1"/>
  <c r="T269" i="1"/>
  <c r="U269" i="1" s="1"/>
  <c r="M268" i="1"/>
  <c r="M16" i="2" s="1"/>
  <c r="N16" i="2" s="1"/>
  <c r="C629" i="3"/>
  <c r="Q640" i="1"/>
  <c r="C915" i="3"/>
  <c r="Q926" i="1"/>
  <c r="R787" i="1"/>
  <c r="M787" i="1"/>
  <c r="T787" i="1" s="1"/>
  <c r="U787" i="1" s="1"/>
  <c r="C865" i="3"/>
  <c r="Q876" i="1"/>
  <c r="C731" i="3"/>
  <c r="Q743" i="1"/>
  <c r="R621" i="1"/>
  <c r="M621" i="1"/>
  <c r="T621" i="1" s="1"/>
  <c r="U621" i="1" s="1"/>
  <c r="R752" i="1"/>
  <c r="M752" i="1"/>
  <c r="T752" i="1" s="1"/>
  <c r="U752" i="1" s="1"/>
  <c r="D813" i="3"/>
  <c r="C891" i="3"/>
  <c r="Q902" i="1"/>
  <c r="C328" i="3"/>
  <c r="C761" i="3"/>
  <c r="Q773" i="1"/>
  <c r="Q962" i="1"/>
  <c r="Q961" i="1" s="1"/>
  <c r="R717" i="1"/>
  <c r="T421" i="1"/>
  <c r="U421" i="1" s="1"/>
  <c r="R407" i="1"/>
  <c r="T316" i="1"/>
  <c r="U316" i="1" s="1"/>
  <c r="M315" i="1"/>
  <c r="M21" i="2" s="1"/>
  <c r="N21" i="2" s="1"/>
  <c r="R798" i="1"/>
  <c r="M798" i="1"/>
  <c r="T798" i="1" s="1"/>
  <c r="U798" i="1" s="1"/>
  <c r="M226" i="1"/>
  <c r="Q223" i="1"/>
  <c r="R226" i="1"/>
  <c r="R223" i="1" s="1"/>
  <c r="T932" i="1"/>
  <c r="U932" i="1" s="1"/>
  <c r="M931" i="1"/>
  <c r="M85" i="2" s="1"/>
  <c r="N85" i="2" s="1"/>
  <c r="T387" i="1"/>
  <c r="U387" i="1" s="1"/>
  <c r="M386" i="1"/>
  <c r="M29" i="2" s="1"/>
  <c r="N29" i="2" s="1"/>
  <c r="R548" i="1"/>
  <c r="M548" i="1"/>
  <c r="T548" i="1" s="1"/>
  <c r="U548" i="1" s="1"/>
  <c r="C867" i="3"/>
  <c r="R322" i="1"/>
  <c r="M322" i="1"/>
  <c r="T322" i="1" s="1"/>
  <c r="U322" i="1" s="1"/>
  <c r="R391" i="1"/>
  <c r="R389" i="1" s="1"/>
  <c r="M391" i="1"/>
  <c r="T391" i="1" s="1"/>
  <c r="U391" i="1" s="1"/>
  <c r="C671" i="3"/>
  <c r="Q682" i="1"/>
  <c r="C314" i="3"/>
  <c r="Q325" i="1"/>
  <c r="R748" i="1"/>
  <c r="T663" i="1"/>
  <c r="U663" i="1" s="1"/>
  <c r="Q244" i="1"/>
  <c r="Q407" i="1"/>
  <c r="M21" i="1"/>
  <c r="C10" i="3" l="1"/>
  <c r="M101" i="2"/>
  <c r="M1032" i="1"/>
  <c r="M961" i="1" s="1"/>
  <c r="M41" i="2"/>
  <c r="R422" i="1"/>
  <c r="R420" i="1" s="1"/>
  <c r="M422" i="1"/>
  <c r="Q420" i="1"/>
  <c r="R902" i="1"/>
  <c r="R901" i="1" s="1"/>
  <c r="M902" i="1"/>
  <c r="Q901" i="1"/>
  <c r="Q359" i="1"/>
  <c r="R360" i="1"/>
  <c r="R359" i="1" s="1"/>
  <c r="M360" i="1"/>
  <c r="C409" i="3"/>
  <c r="M640" i="1"/>
  <c r="Q639" i="1"/>
  <c r="R640" i="1"/>
  <c r="R639" i="1" s="1"/>
  <c r="R464" i="1" s="1"/>
  <c r="R664" i="1"/>
  <c r="R662" i="1" s="1"/>
  <c r="M664" i="1"/>
  <c r="Q662" i="1"/>
  <c r="M915" i="1"/>
  <c r="R915" i="1"/>
  <c r="R913" i="1" s="1"/>
  <c r="Q913" i="1"/>
  <c r="Q324" i="1"/>
  <c r="R325" i="1"/>
  <c r="R324" i="1" s="1"/>
  <c r="M325" i="1"/>
  <c r="R876" i="1"/>
  <c r="R875" i="1" s="1"/>
  <c r="M876" i="1"/>
  <c r="Q875" i="1"/>
  <c r="T912" i="1"/>
  <c r="U912" i="1" s="1"/>
  <c r="M910" i="1"/>
  <c r="M80" i="2" s="1"/>
  <c r="N80" i="2" s="1"/>
  <c r="M244" i="1"/>
  <c r="M14" i="2" s="1"/>
  <c r="N14" i="2" s="1"/>
  <c r="T372" i="1"/>
  <c r="U372" i="1" s="1"/>
  <c r="M370" i="1"/>
  <c r="M27" i="2" s="1"/>
  <c r="N27" i="2" s="1"/>
  <c r="R403" i="1"/>
  <c r="R402" i="1" s="1"/>
  <c r="M403" i="1"/>
  <c r="Q402" i="1"/>
  <c r="Q934" i="1"/>
  <c r="R935" i="1"/>
  <c r="R934" i="1" s="1"/>
  <c r="M935" i="1"/>
  <c r="M780" i="1"/>
  <c r="M64" i="2" s="1"/>
  <c r="N64" i="2" s="1"/>
  <c r="M743" i="1"/>
  <c r="R743" i="1"/>
  <c r="R741" i="1" s="1"/>
  <c r="Q741" i="1"/>
  <c r="T226" i="1"/>
  <c r="U226" i="1" s="1"/>
  <c r="M223" i="1"/>
  <c r="M11" i="2" s="1"/>
  <c r="N11" i="2" s="1"/>
  <c r="M748" i="1"/>
  <c r="M58" i="2" s="1"/>
  <c r="N58" i="2" s="1"/>
  <c r="T954" i="1"/>
  <c r="U954" i="1" s="1"/>
  <c r="M949" i="1"/>
  <c r="M87" i="2" s="1"/>
  <c r="N87" i="2" s="1"/>
  <c r="M389" i="1"/>
  <c r="M30" i="2" s="1"/>
  <c r="N30" i="2" s="1"/>
  <c r="R780" i="1"/>
  <c r="T340" i="1"/>
  <c r="U340" i="1" s="1"/>
  <c r="M338" i="1"/>
  <c r="M24" i="2" s="1"/>
  <c r="N24" i="2" s="1"/>
  <c r="R654" i="1"/>
  <c r="R652" i="1" s="1"/>
  <c r="M654" i="1"/>
  <c r="Q652" i="1"/>
  <c r="C454" i="3"/>
  <c r="Q681" i="1"/>
  <c r="R682" i="1"/>
  <c r="R681" i="1" s="1"/>
  <c r="M682" i="1"/>
  <c r="Q667" i="1"/>
  <c r="R668" i="1"/>
  <c r="R667" i="1" s="1"/>
  <c r="M668" i="1"/>
  <c r="T881" i="1"/>
  <c r="U881" i="1" s="1"/>
  <c r="M877" i="1"/>
  <c r="M74" i="2" s="1"/>
  <c r="N74" i="2" s="1"/>
  <c r="R763" i="1"/>
  <c r="R762" i="1" s="1"/>
  <c r="M763" i="1"/>
  <c r="Q762" i="1"/>
  <c r="R319" i="1"/>
  <c r="R318" i="1" s="1"/>
  <c r="M319" i="1"/>
  <c r="Q318" i="1"/>
  <c r="Q918" i="1"/>
  <c r="R919" i="1"/>
  <c r="R918" i="1" s="1"/>
  <c r="M919" i="1"/>
  <c r="M10" i="2"/>
  <c r="T759" i="1"/>
  <c r="U759" i="1" s="1"/>
  <c r="M757" i="1"/>
  <c r="M59" i="2" s="1"/>
  <c r="N59" i="2" s="1"/>
  <c r="U657" i="1"/>
  <c r="T657" i="1"/>
  <c r="C813" i="3"/>
  <c r="M92" i="2"/>
  <c r="R773" i="1"/>
  <c r="R771" i="1" s="1"/>
  <c r="M773" i="1"/>
  <c r="Q771" i="1"/>
  <c r="R926" i="1"/>
  <c r="R925" i="1" s="1"/>
  <c r="Q925" i="1"/>
  <c r="M926" i="1"/>
  <c r="T399" i="1"/>
  <c r="U399" i="1" s="1"/>
  <c r="M395" i="1"/>
  <c r="M31" i="2" s="1"/>
  <c r="N31" i="2" s="1"/>
  <c r="Q460" i="1"/>
  <c r="M461" i="1"/>
  <c r="R461" i="1"/>
  <c r="R460" i="1" s="1"/>
  <c r="M825" i="1"/>
  <c r="Q824" i="1"/>
  <c r="R825" i="1"/>
  <c r="R824" i="1" s="1"/>
  <c r="R823" i="1" s="1"/>
  <c r="T646" i="1"/>
  <c r="U646" i="1" s="1"/>
  <c r="M643" i="1"/>
  <c r="M44" i="2" s="1"/>
  <c r="N44" i="2" s="1"/>
  <c r="R675" i="1"/>
  <c r="R674" i="1" s="1"/>
  <c r="M675" i="1"/>
  <c r="Q674" i="1"/>
  <c r="Q858" i="1"/>
  <c r="R859" i="1"/>
  <c r="R858" i="1" s="1"/>
  <c r="M859" i="1"/>
  <c r="M875" i="1" l="1"/>
  <c r="M73" i="2" s="1"/>
  <c r="N73" i="2" s="1"/>
  <c r="T876" i="1"/>
  <c r="U876" i="1" s="1"/>
  <c r="N10" i="2"/>
  <c r="T763" i="1"/>
  <c r="U763" i="1" s="1"/>
  <c r="M762" i="1"/>
  <c r="M60" i="2" s="1"/>
  <c r="N60" i="2" s="1"/>
  <c r="T664" i="1"/>
  <c r="U664" i="1" s="1"/>
  <c r="M662" i="1"/>
  <c r="M46" i="2" s="1"/>
  <c r="N46" i="2" s="1"/>
  <c r="N41" i="2"/>
  <c r="T682" i="1"/>
  <c r="U682" i="1" s="1"/>
  <c r="M681" i="1"/>
  <c r="M50" i="2" s="1"/>
  <c r="N50" i="2" s="1"/>
  <c r="T902" i="1"/>
  <c r="U902" i="1" s="1"/>
  <c r="M901" i="1"/>
  <c r="M78" i="2" s="1"/>
  <c r="N78" i="2" s="1"/>
  <c r="M100" i="2"/>
  <c r="M91" i="2" s="1"/>
  <c r="N101" i="2"/>
  <c r="N100" i="2" s="1"/>
  <c r="Q464" i="1"/>
  <c r="T919" i="1"/>
  <c r="U919" i="1" s="1"/>
  <c r="M918" i="1"/>
  <c r="M82" i="2" s="1"/>
  <c r="N82" i="2" s="1"/>
  <c r="T926" i="1"/>
  <c r="U926" i="1" s="1"/>
  <c r="M925" i="1"/>
  <c r="M84" i="2" s="1"/>
  <c r="N84" i="2" s="1"/>
  <c r="Q823" i="1"/>
  <c r="M824" i="1"/>
  <c r="T825" i="1"/>
  <c r="U825" i="1" s="1"/>
  <c r="T668" i="1"/>
  <c r="U668" i="1" s="1"/>
  <c r="M667" i="1"/>
  <c r="M47" i="2" s="1"/>
  <c r="N47" i="2" s="1"/>
  <c r="U654" i="1"/>
  <c r="T654" i="1"/>
  <c r="M652" i="1"/>
  <c r="M45" i="2" s="1"/>
  <c r="N45" i="2" s="1"/>
  <c r="M639" i="1"/>
  <c r="T640" i="1"/>
  <c r="U640" i="1" s="1"/>
  <c r="Q419" i="1"/>
  <c r="Q20" i="1" s="1"/>
  <c r="M402" i="1"/>
  <c r="M32" i="2" s="1"/>
  <c r="N32" i="2" s="1"/>
  <c r="T403" i="1"/>
  <c r="U403" i="1" s="1"/>
  <c r="N92" i="2"/>
  <c r="T325" i="1"/>
  <c r="U325" i="1" s="1"/>
  <c r="M324" i="1"/>
  <c r="M23" i="2" s="1"/>
  <c r="N23" i="2" s="1"/>
  <c r="T859" i="1"/>
  <c r="U859" i="1" s="1"/>
  <c r="M858" i="1"/>
  <c r="M72" i="2" s="1"/>
  <c r="N72" i="2" s="1"/>
  <c r="M318" i="1"/>
  <c r="T319" i="1"/>
  <c r="U319" i="1" s="1"/>
  <c r="T422" i="1"/>
  <c r="U422" i="1" s="1"/>
  <c r="M420" i="1"/>
  <c r="T743" i="1"/>
  <c r="U743" i="1" s="1"/>
  <c r="M741" i="1"/>
  <c r="M57" i="2" s="1"/>
  <c r="N57" i="2" s="1"/>
  <c r="T935" i="1"/>
  <c r="U935" i="1" s="1"/>
  <c r="M934" i="1"/>
  <c r="M86" i="2" s="1"/>
  <c r="N86" i="2" s="1"/>
  <c r="T675" i="1"/>
  <c r="U675" i="1" s="1"/>
  <c r="M674" i="1"/>
  <c r="M48" i="2" s="1"/>
  <c r="N48" i="2" s="1"/>
  <c r="T461" i="1"/>
  <c r="U461" i="1" s="1"/>
  <c r="M460" i="1"/>
  <c r="M38" i="2" s="1"/>
  <c r="N38" i="2" s="1"/>
  <c r="T773" i="1"/>
  <c r="U773" i="1" s="1"/>
  <c r="M771" i="1"/>
  <c r="M63" i="2" s="1"/>
  <c r="N63" i="2" s="1"/>
  <c r="T915" i="1"/>
  <c r="U915" i="1" s="1"/>
  <c r="M913" i="1"/>
  <c r="M81" i="2" s="1"/>
  <c r="N81" i="2" s="1"/>
  <c r="T360" i="1"/>
  <c r="U360" i="1" s="1"/>
  <c r="M359" i="1"/>
  <c r="M26" i="2" s="1"/>
  <c r="N26" i="2" s="1"/>
  <c r="R419" i="1"/>
  <c r="R20" i="1" s="1"/>
  <c r="M69" i="2" l="1"/>
  <c r="M823" i="1"/>
  <c r="M43" i="2"/>
  <c r="M464" i="1"/>
  <c r="N91" i="2"/>
  <c r="M35" i="2"/>
  <c r="M419" i="1"/>
  <c r="M20" i="1" s="1"/>
  <c r="M22" i="2"/>
  <c r="N35" i="2" l="1"/>
  <c r="N34" i="2" s="1"/>
  <c r="M34" i="2"/>
  <c r="N43" i="2"/>
  <c r="N40" i="2" s="1"/>
  <c r="M40" i="2"/>
  <c r="N22" i="2"/>
  <c r="N9" i="2" s="1"/>
  <c r="M9" i="2"/>
  <c r="N69" i="2"/>
  <c r="N68" i="2" s="1"/>
  <c r="M68" i="2"/>
</calcChain>
</file>

<file path=xl/sharedStrings.xml><?xml version="1.0" encoding="utf-8"?>
<sst xmlns="http://schemas.openxmlformats.org/spreadsheetml/2006/main" count="7127" uniqueCount="1416">
  <si>
    <t xml:space="preserve">«УТВЕРЖДЕН                                                                                            </t>
  </si>
  <si>
    <t>постановлением Правительства</t>
  </si>
  <si>
    <t>Забайкальского края</t>
  </si>
  <si>
    <t>от 17 декабря 2025 года № 756</t>
  </si>
  <si>
    <t>(в редакции постановления Правительства</t>
  </si>
  <si>
    <t xml:space="preserve">                             от ____________ № ____)</t>
  </si>
  <si>
    <t xml:space="preserve">Региональный краткосрочный план реализации Региональной программы капитального ремонта общего имущества в многоквартирных домах, расположенных на территории Забайкальского края, на период 2026-2028 годов </t>
  </si>
  <si>
    <t>Таблица 1. Адресный перечень и характеристика многоквартирных домов, расположенных на территории Забайкальского края, в отношении которых на период 2026-2028 годов планируется проведение капитального ремонта общего имущества в многоквартирных домах</t>
  </si>
  <si>
    <t>№ п/п</t>
  </si>
  <si>
    <t>Адрес МКД</t>
  </si>
  <si>
    <t>Способ формирования фонда капитального ремонта</t>
  </si>
  <si>
    <t>Год</t>
  </si>
  <si>
    <t>Материал стен</t>
  </si>
  <si>
    <t>Количество этажей</t>
  </si>
  <si>
    <t>Количество подъездов</t>
  </si>
  <si>
    <t>общая площадь МКД, всего</t>
  </si>
  <si>
    <t>Площадь помещений МКД:</t>
  </si>
  <si>
    <t>Количество жителей, зарегистрированных в МКД на дату утверждения краткосрочного плана</t>
  </si>
  <si>
    <t>Стоимость капитального ремонта</t>
  </si>
  <si>
    <t>Удельная стоимость капитального ремонта 1 кв. м общей площади помещений МКД</t>
  </si>
  <si>
    <t>Предельная стоимость капитального ремонта 1 кв. м общей площади помещений МКД</t>
  </si>
  <si>
    <t>Плановая дата завершения работ</t>
  </si>
  <si>
    <t>ввода в эксплуатацию</t>
  </si>
  <si>
    <t>завершение последнего капитального ремонта</t>
  </si>
  <si>
    <t>всего:</t>
  </si>
  <si>
    <t>в том числе жилых помещений, находящихся в собственности граждан</t>
  </si>
  <si>
    <t>в том числе:</t>
  </si>
  <si>
    <t>за счет средств бюджета Российской Федерации</t>
  </si>
  <si>
    <t>за счет средств бюджета субъекта Российской Федерации</t>
  </si>
  <si>
    <t>за счет средств местного бюджета</t>
  </si>
  <si>
    <t>за счет средств собственников помещений в МКД</t>
  </si>
  <si>
    <t>за счет взносов собственников помещений в МКД, уплачиваемых исходя из установленного минимального размера взноса</t>
  </si>
  <si>
    <t>за счет взносов собственников помещений в МКД, уплачиваемых в  размере, превышающем установленный  минимальный размер взноса</t>
  </si>
  <si>
    <t>кв.м</t>
  </si>
  <si>
    <t>чел.</t>
  </si>
  <si>
    <t>руб.</t>
  </si>
  <si>
    <t>руб./кв.м</t>
  </si>
  <si>
    <t>2026 год</t>
  </si>
  <si>
    <t>Итого по Забайкальскому краю:</t>
  </si>
  <si>
    <t>Х</t>
  </si>
  <si>
    <t>X</t>
  </si>
  <si>
    <t>Итого по городскому округу "Город Чита":</t>
  </si>
  <si>
    <t>г. Чита, б-р Украинский, д. 1</t>
  </si>
  <si>
    <t>общий счет регионального оператора</t>
  </si>
  <si>
    <t>Каменные, кирпичные</t>
  </si>
  <si>
    <t>12.2026</t>
  </si>
  <si>
    <t>г. Чита, б-р Украинский, д. 10</t>
  </si>
  <si>
    <t>2019</t>
  </si>
  <si>
    <t>Панельные</t>
  </si>
  <si>
    <t>г. Чита, б-р. Украинский, д. 14</t>
  </si>
  <si>
    <t>2023</t>
  </si>
  <si>
    <t>г. Чита, б-р Украинский, д. 18</t>
  </si>
  <si>
    <t>г. Чита, б-р Украинский, д. 22</t>
  </si>
  <si>
    <t>г. Чита, б-р Украинский, д. 24</t>
  </si>
  <si>
    <t>г. Чита, б-р Украинский, д. 28</t>
  </si>
  <si>
    <t>г. Чита, б-р Украинский, д. 3</t>
  </si>
  <si>
    <t>г. Чита, б-р. Украинский, д. 7</t>
  </si>
  <si>
    <t>2024</t>
  </si>
  <si>
    <t>г. Чита, б-р Украинский, д. 8</t>
  </si>
  <si>
    <t>г. Чита, мкр. 1-й, д. 28</t>
  </si>
  <si>
    <t>2021</t>
  </si>
  <si>
    <t>г. Чита, мкр. 1-й, д. 6</t>
  </si>
  <si>
    <t>г. Чита, мкр. 4-й, д. 14</t>
  </si>
  <si>
    <t>2020</t>
  </si>
  <si>
    <t>г. Чита, мкр. 4-й, д. 9</t>
  </si>
  <si>
    <t>г. Чита, мкр. 5-й, д. 29</t>
  </si>
  <si>
    <t>г. Чита, мкр. 6-й, д. 15</t>
  </si>
  <si>
    <t>г. Чита, мкр. Агрогородок Опытный, д. 3</t>
  </si>
  <si>
    <t>г. Чита, мкр. Батарейный, д. 11</t>
  </si>
  <si>
    <t>г. Чита, мкр. Батарейный, д. 4</t>
  </si>
  <si>
    <t>2022</t>
  </si>
  <si>
    <t>г. Чита, мкр. Батарейный, д. 5</t>
  </si>
  <si>
    <t>г. Чита, мкр. Батарейный, д. 7</t>
  </si>
  <si>
    <t>г. Чита, мкр. Гвардейский, д. 12</t>
  </si>
  <si>
    <t>г. Чита, мкр. Гвардейский, д. 7</t>
  </si>
  <si>
    <t>г. Чита, мкр. Геофизический, д. 5</t>
  </si>
  <si>
    <t>г. Чита, мкр. Геофизический, д. 7</t>
  </si>
  <si>
    <t>Кирпичные, каменные</t>
  </si>
  <si>
    <t>г. Чита, мкр. Геофизический, д. 8</t>
  </si>
  <si>
    <t>1987</t>
  </si>
  <si>
    <t>г. Чита, мкр. Осетровка, д. 12</t>
  </si>
  <si>
    <t>г. Чита, мкр. Осетровка, д. 19</t>
  </si>
  <si>
    <t>г. Чита, мкр. Северный, д. 13</t>
  </si>
  <si>
    <t>1977</t>
  </si>
  <si>
    <t>г. Чита, мкр. Северный, д. 40</t>
  </si>
  <si>
    <t>специальный счет регионального оператора</t>
  </si>
  <si>
    <t>1985</t>
  </si>
  <si>
    <t>г. Чита, мкр. Северный, д. 60</t>
  </si>
  <si>
    <t>1994</t>
  </si>
  <si>
    <t>г. Чита, мкр. Северный, д. 61</t>
  </si>
  <si>
    <t>специальный счет управляющей организации</t>
  </si>
  <si>
    <t>1991</t>
  </si>
  <si>
    <t>г. Чита, мкр. ТУСМ-4, д. 1</t>
  </si>
  <si>
    <t>1963</t>
  </si>
  <si>
    <t>г. Чита, п. Ясный, д. 1</t>
  </si>
  <si>
    <t>г. Чита, п. Ясный, д. 17</t>
  </si>
  <si>
    <t>г. Чита, п. Ясный, д. 3</t>
  </si>
  <si>
    <t>г. Чита, п. Ясный, д. 4</t>
  </si>
  <si>
    <t>г. Чита, п. Ясный, д. 5</t>
  </si>
  <si>
    <t>г. Чита, п. Ясный, д. 6</t>
  </si>
  <si>
    <t>г. Чита, п. Ясный, д. 7</t>
  </si>
  <si>
    <t>г. Чита, п. Ясный, д. 8</t>
  </si>
  <si>
    <t>г. Чита, п. Ясный, д. 9</t>
  </si>
  <si>
    <t>г. Чита, пер. Железобетонный, д. 14</t>
  </si>
  <si>
    <t>1989</t>
  </si>
  <si>
    <t>г. Чита, пер. Парковый, д. 18</t>
  </si>
  <si>
    <t>1974</t>
  </si>
  <si>
    <t>г. Чита, пер. Промышленный, д. 5</t>
  </si>
  <si>
    <t>г. Чита, пр-кт. Советов, д. 5</t>
  </si>
  <si>
    <t>1986</t>
  </si>
  <si>
    <t>г. Чита, пр-кт. Фадеева, д. 24</t>
  </si>
  <si>
    <t>г. Чита, проезд Александра Булгакова, д. 50</t>
  </si>
  <si>
    <t>г. Чита, тр-кт. Молоковский, д. 114</t>
  </si>
  <si>
    <t>г. Чита, ул. 1-я Московская, д. 56</t>
  </si>
  <si>
    <t>1976</t>
  </si>
  <si>
    <t>г. Чита, ул. 2-я Коммунальная, д. 39</t>
  </si>
  <si>
    <t>г. Чита, ул. 2-я Коммунальная, д. 45</t>
  </si>
  <si>
    <t>г. Чита, ул. 2-я Малая, д. 10</t>
  </si>
  <si>
    <t>г. Чита, ул. 5-я Малая, д. 1а</t>
  </si>
  <si>
    <t>г. Чита, ул. 5-я Малая, д. 1б</t>
  </si>
  <si>
    <t>г. Чита, ул. 9 Января, д. 55</t>
  </si>
  <si>
    <t>г. Чита, ул. 40 лет Октября, д. 13</t>
  </si>
  <si>
    <t>г. Чита, ул. Автогенная, д. 19</t>
  </si>
  <si>
    <t>г. Чита, ул. Автогенная, д. 5</t>
  </si>
  <si>
    <t>г. Чита, ул. Автозаводская, д. 7</t>
  </si>
  <si>
    <t>г. Чита, ул. Александро-Заводская, д. 13</t>
  </si>
  <si>
    <t>1961</t>
  </si>
  <si>
    <t>г. Чита, ул. Амурская, д. 48</t>
  </si>
  <si>
    <t>г. Чита, ул. Амурская, д. 82</t>
  </si>
  <si>
    <t>1940</t>
  </si>
  <si>
    <t>2016</t>
  </si>
  <si>
    <t>г. Чита, ул. Анохина, д. 3</t>
  </si>
  <si>
    <t>1971</t>
  </si>
  <si>
    <t>г. Чита, ул. Анохина, д. 43</t>
  </si>
  <si>
    <t>г. Чита, ул. Анохина, д. 96</t>
  </si>
  <si>
    <t>1972</t>
  </si>
  <si>
    <t>г. Чита, ул. Бабушкина, д. 11</t>
  </si>
  <si>
    <t>1978</t>
  </si>
  <si>
    <t>г. Чита, ул. Бабушкина, д. 30</t>
  </si>
  <si>
    <t>г. Чита, ул. Бабушкина, д. 32</t>
  </si>
  <si>
    <t>2018</t>
  </si>
  <si>
    <t>г. Чита, ул. Бабушкина, д. 34</t>
  </si>
  <si>
    <t>г. Чита, ул. Бабушкина, д. 36</t>
  </si>
  <si>
    <t>г. Чита, ул. Бабушкина, д. 5</t>
  </si>
  <si>
    <t>г. Чита, ул. Байкальская, д. 15</t>
  </si>
  <si>
    <t>1983</t>
  </si>
  <si>
    <t>г. Чита, ул. Балябина, д. 45</t>
  </si>
  <si>
    <t>1967</t>
  </si>
  <si>
    <t>г. Чита, ул. Баргузинская, д. 12</t>
  </si>
  <si>
    <t>г. Чита, ул. Бекетова, д. 38</t>
  </si>
  <si>
    <t>г. Чита, ул. Бекетова, д. 46</t>
  </si>
  <si>
    <t>г. Чита, ул. Белорусская, д. 11а</t>
  </si>
  <si>
    <t>1966</t>
  </si>
  <si>
    <t>г. Чита, ул. Белорусская, д. 48</t>
  </si>
  <si>
    <t>1979</t>
  </si>
  <si>
    <t>2025</t>
  </si>
  <si>
    <t>г. Чита, ул. Богдана Хмельницкого, д. 24, корп. 3</t>
  </si>
  <si>
    <t>г. Чита, ул. Боровая, д. 4</t>
  </si>
  <si>
    <t>1984</t>
  </si>
  <si>
    <t>г. Чита, ул. Бутина, д. 101</t>
  </si>
  <si>
    <t>2015</t>
  </si>
  <si>
    <t>г. Чита, ул. Бутина, д. 73</t>
  </si>
  <si>
    <t>г. Чита, ул. Бутина, д. 82</t>
  </si>
  <si>
    <t>1962</t>
  </si>
  <si>
    <t>г. Чита, ул. Весенняя, д. 4</t>
  </si>
  <si>
    <t>г. Чита, ул. Весенняя, д. 40</t>
  </si>
  <si>
    <t>г. Чита, ул. Весенняя, д. 8</t>
  </si>
  <si>
    <t>г. Чита, ул. Гагарина, д. 17</t>
  </si>
  <si>
    <t>1969</t>
  </si>
  <si>
    <t>г. Чита, ул. Гагарина, д. 5</t>
  </si>
  <si>
    <t>1970</t>
  </si>
  <si>
    <t>г. Чита, ул. Гагарина, д. 8</t>
  </si>
  <si>
    <t>г. Чита, ул. Гагарина, д. 9</t>
  </si>
  <si>
    <t>1968</t>
  </si>
  <si>
    <t>г. Чита, ул. Горького, д. 38</t>
  </si>
  <si>
    <t>г. Чита, ул. Дивизионная, д. 4</t>
  </si>
  <si>
    <t>1995</t>
  </si>
  <si>
    <t>г. Чита, ул. Дивизионная, д. 8а</t>
  </si>
  <si>
    <t>г. Чита, ул. Евгения Гаюсана, д. 28</t>
  </si>
  <si>
    <t>г. Чита, ул. Евгения Гаюсана, д. 30</t>
  </si>
  <si>
    <t>г. Чита, ул. Железобетонная, д. 16</t>
  </si>
  <si>
    <t>г. Чита, ул. Железобетонная, д. 22</t>
  </si>
  <si>
    <t>1993</t>
  </si>
  <si>
    <t>г. Чита, ул. Журавлева, д. 112</t>
  </si>
  <si>
    <t>г. Чита, ул. Забайкальская, д. 10</t>
  </si>
  <si>
    <t>г. Чита, ул. Забайкальская, д. 5</t>
  </si>
  <si>
    <t>г. Чита, ул. Забайкальского Рабочего, д. 34</t>
  </si>
  <si>
    <t>г. Чита, ул. Забайкальского Рабочего, д. 38</t>
  </si>
  <si>
    <t>г. Чита, ул. Забайкальского Рабочего, д. 4</t>
  </si>
  <si>
    <t>г. Чита, ул. Кайдаловская, д. 10</t>
  </si>
  <si>
    <t>г. Чита, ул. Кайдаловская, д. 19</t>
  </si>
  <si>
    <t>г. Чита, ул. Калангуйская, д. 38а</t>
  </si>
  <si>
    <t>г. Чита, ул. Каларская, д. 4</t>
  </si>
  <si>
    <t>г. Чита, ул. Карла Маркса, д. 14</t>
  </si>
  <si>
    <t>г. Чита, ул. Кирова, д. 2а</t>
  </si>
  <si>
    <t>1960</t>
  </si>
  <si>
    <t>г. Чита, ул. Кирова, д. 4а</t>
  </si>
  <si>
    <t>г. Чита, ул. Ковыльная, д. 22</t>
  </si>
  <si>
    <t>г. Чита, ул. Космонавтов, д. 12</t>
  </si>
  <si>
    <t>г. Чита, ул. Космонавтов, д. 6</t>
  </si>
  <si>
    <t>1965</t>
  </si>
  <si>
    <t>г. Чита, ул. Красноармейская, д. 68</t>
  </si>
  <si>
    <t>г. Чита, ул. Красного Восстания, д. 17</t>
  </si>
  <si>
    <t>1999</t>
  </si>
  <si>
    <t>г. Чита, ул. Красного Восстания, д. 18</t>
  </si>
  <si>
    <t>1980</t>
  </si>
  <si>
    <t>г. Чита, ул. Красной Звезды, д. 12</t>
  </si>
  <si>
    <t>г. Чита, ул. Красноярская, д. 11</t>
  </si>
  <si>
    <t>г. Чита, ул. Красноярская, д. 24</t>
  </si>
  <si>
    <t>г. Чита, ул. Красноярская, д. 32</t>
  </si>
  <si>
    <t>г. Чита, ул. Крымская, д. 21</t>
  </si>
  <si>
    <t>г. Чита, ул. Курнатовского, д. 76</t>
  </si>
  <si>
    <t>г. Чита, ул. Лазо, д. 36</t>
  </si>
  <si>
    <t>1981</t>
  </si>
  <si>
    <t>г. Чита, ул. Ленина, д. 54</t>
  </si>
  <si>
    <t>1948</t>
  </si>
  <si>
    <t>г. Чита, ул. Ленина, д. 56</t>
  </si>
  <si>
    <t>1945</t>
  </si>
  <si>
    <t>г. Чита, ул. Ленина, д. 58</t>
  </si>
  <si>
    <t>1957</t>
  </si>
  <si>
    <t>г. Чита, ул. Ленина, д. 97</t>
  </si>
  <si>
    <t>1950</t>
  </si>
  <si>
    <t>г. Чита, ул. Ленинградская, д. 27</t>
  </si>
  <si>
    <t>г. Чита, ул. Ленинградская, д. 47а</t>
  </si>
  <si>
    <t>г. Чита, ул. Ленинградская, д. 77б</t>
  </si>
  <si>
    <t>1959</t>
  </si>
  <si>
    <t>г. Чита, ул. Ленинградская, д. 78</t>
  </si>
  <si>
    <t>1956</t>
  </si>
  <si>
    <t>2017</t>
  </si>
  <si>
    <t>г. Чита, ул. Ленинградская, д. 80</t>
  </si>
  <si>
    <t>1958</t>
  </si>
  <si>
    <t>г. Чита, ул. Лермонтова, д. 14</t>
  </si>
  <si>
    <t>г. Чита, ул. Лермонтова, д. 15</t>
  </si>
  <si>
    <t>г. Чита, ул. Лермонтова, д. 9</t>
  </si>
  <si>
    <t>г. Чита, ул. Ломоносова, д. 42</t>
  </si>
  <si>
    <t>г. Чита, ул. Магистральная, д. 13</t>
  </si>
  <si>
    <t>г. Чита, ул. Майская, д. 24</t>
  </si>
  <si>
    <t>г. Чита, ул. Малая, д. 2б</t>
  </si>
  <si>
    <t>г. Чита, ул. Набережная, д. 46</t>
  </si>
  <si>
    <t>г. Чита, ул. Набережная, д. 64</t>
  </si>
  <si>
    <t>г. Чита, ул. Набережная, д. 66</t>
  </si>
  <si>
    <t>г. Чита, ул. Нагорная, д. 19</t>
  </si>
  <si>
    <t>Брусовые, деревянные</t>
  </si>
  <si>
    <t>г. Чита, ул. Нагорная, д. 26</t>
  </si>
  <si>
    <t>2004</t>
  </si>
  <si>
    <t>г. Чита, ул. Назара Губина, д. 33</t>
  </si>
  <si>
    <t>г. Чита, ул. Недорезова, д. 28</t>
  </si>
  <si>
    <t>г. Чита, ул. Нечаева, д. 58</t>
  </si>
  <si>
    <t>г. Чита, ул. Николая Островского, д. 28</t>
  </si>
  <si>
    <t>г. Чита, ул. Новобульварная, д. 129</t>
  </si>
  <si>
    <t xml:space="preserve">г. Чита, ул. Новобульварная, д. 42 </t>
  </si>
  <si>
    <t>г. Чита, ул. Новобульварная, д. 42а</t>
  </si>
  <si>
    <t>г. Чита, ул. Новобульварная, д. 42б</t>
  </si>
  <si>
    <t>г. Чита, ул. Новобульварная, д. 42в</t>
  </si>
  <si>
    <t>г. Чита, ул. Новобульварная, д. 90</t>
  </si>
  <si>
    <t>г. Чита, ул. Онискевича, д. 14</t>
  </si>
  <si>
    <t>г. Чита, ул. Офицерская, д. 22</t>
  </si>
  <si>
    <t>г. Чита, ул. Петровско-Заводская, д. 31</t>
  </si>
  <si>
    <t>г. Чита, ул. Петровско-Заводская, д. 52</t>
  </si>
  <si>
    <t>г. Чита, ул. Печорская, д. 1</t>
  </si>
  <si>
    <t>г. Чита, ул. Подгорбунского, д. 1</t>
  </si>
  <si>
    <t>г. Чита, ул. Подгорбунского, д. 41в</t>
  </si>
  <si>
    <t>г. Чита, ул. Подгорбунского, д. 84</t>
  </si>
  <si>
    <t>г. Чита, ул. Подгорбунского, д. 9</t>
  </si>
  <si>
    <t>1997</t>
  </si>
  <si>
    <t>г. Чита, ул. Ползунова, д. 26</t>
  </si>
  <si>
    <t>1973</t>
  </si>
  <si>
    <t>г. Чита, ул. Полины Осипенко, д. 38</t>
  </si>
  <si>
    <t>г. Чита, ул. Прибрежная, д. 4</t>
  </si>
  <si>
    <t xml:space="preserve"> 2005</t>
  </si>
  <si>
    <t>г. Чита, ул. Пригородная, д. 1а</t>
  </si>
  <si>
    <t>г. Чита, ул. Пригородная, д. 1б</t>
  </si>
  <si>
    <t>г. Чита, ул. Промышленная, д. 56</t>
  </si>
  <si>
    <t>г. Чита, ул. Пушкина, д. 7</t>
  </si>
  <si>
    <t>г. Чита, ул. Селенгинская, д. 13</t>
  </si>
  <si>
    <t>г. Чита, ул. Селенгинская, д. 17</t>
  </si>
  <si>
    <t>г. Чита, ул. Серова, д. 1</t>
  </si>
  <si>
    <t>г. Чита, ул. Силикатная, д. 11</t>
  </si>
  <si>
    <t>г. Чита, ул. Смоленская, д. 47</t>
  </si>
  <si>
    <t>г. Чита, ул. Советская, д. 25</t>
  </si>
  <si>
    <t>г. Чита, ул. Столярова, д. 19</t>
  </si>
  <si>
    <t>г. Чита, ул. Столярова, д. 42</t>
  </si>
  <si>
    <t>г. Чита, ул. Столярова, д. 65</t>
  </si>
  <si>
    <t>г. Чита, ул. Строителей, д. 86</t>
  </si>
  <si>
    <t>г. Чита, ул. Строителей, д. 92</t>
  </si>
  <si>
    <t>г. Чита, ул. Таежная, д. 20</t>
  </si>
  <si>
    <t>г. Чита, ул. Текстильщиков, д. 12</t>
  </si>
  <si>
    <t>1992</t>
  </si>
  <si>
    <t>г. Чита, ул. Токмакова, д. 18</t>
  </si>
  <si>
    <t>г. Чита, ул. Токмакова, д. 20</t>
  </si>
  <si>
    <t>г. Чита, ул. Токмакова, д. 23а</t>
  </si>
  <si>
    <t>г. Чита, ул. Токмакова, д. 27а</t>
  </si>
  <si>
    <t>г. Чита, ул. Токмакова, д. 31</t>
  </si>
  <si>
    <t>г. Чита, ул. Угданская, д. 10</t>
  </si>
  <si>
    <t>г. Чита, ул. Угданская, д. 29</t>
  </si>
  <si>
    <t>г. Чита, ул. Хабаровская, д. 25</t>
  </si>
  <si>
    <t>г. Чита, ул. Центральная, д. 16</t>
  </si>
  <si>
    <t>г. Чита, ул. Чкалова, д. 6</t>
  </si>
  <si>
    <t>г. Чита, ул. Шилова, д. 29</t>
  </si>
  <si>
    <t>г. Чита, ул. Шилова, д. 85</t>
  </si>
  <si>
    <t>г. Чита, ул. Шилова, д. 87</t>
  </si>
  <si>
    <t>г. Чита, ул. Юности, д. 23</t>
  </si>
  <si>
    <t>г. Чита, ул. Юности, д. 25</t>
  </si>
  <si>
    <t>г. Чита, ул. Юности, д. 8</t>
  </si>
  <si>
    <t>Итого по городскому округу "Посёлок Агинское":</t>
  </si>
  <si>
    <t>пгт. Агинское, ул. Клименко, д. 11</t>
  </si>
  <si>
    <t>пгт. Агинское, ул. Клименко, д. 16</t>
  </si>
  <si>
    <t>пгт. Агинское, ул. Ленина, д. 122</t>
  </si>
  <si>
    <t>пгт. Агинское, ул. Ленина, д. 42</t>
  </si>
  <si>
    <t>Итого по Агинскому муниципальному округу:</t>
  </si>
  <si>
    <t>пгт. Новоорловск, д. 1</t>
  </si>
  <si>
    <t>пгт. Новоорловск, д. 2</t>
  </si>
  <si>
    <t>пгт. Новоорловск, д. 21</t>
  </si>
  <si>
    <t>пгт. Новоорловск, д. 22</t>
  </si>
  <si>
    <t>пгт. Новоорловск, д. 24</t>
  </si>
  <si>
    <t>пгт. Новоорловск, д. 25</t>
  </si>
  <si>
    <t>пгт. Новоорловск, д. 6</t>
  </si>
  <si>
    <t>пгт. Новоорловск, д. 7</t>
  </si>
  <si>
    <t>Итого по Балейскому муниципальному округу:</t>
  </si>
  <si>
    <t>г. Балей, ул. Ленина, д. 23</t>
  </si>
  <si>
    <t>Блочные</t>
  </si>
  <si>
    <t>г. Балей, ул. Ленина, д. 27</t>
  </si>
  <si>
    <t>г. Балей, ул. Ленина, д. 4</t>
  </si>
  <si>
    <t>г. Балей, ул. Октябрьская, д. 113</t>
  </si>
  <si>
    <t>г. Балей, ул. Октябрьская, д. 98</t>
  </si>
  <si>
    <t>г. Балей, ул. Советская, д. 30</t>
  </si>
  <si>
    <t>специальны счет регионального оператора</t>
  </si>
  <si>
    <t>Итого по Борзинскому муниципальному округу:</t>
  </si>
  <si>
    <t>г. Борзя, мкр. Борзя-2, д. 33</t>
  </si>
  <si>
    <t>г. Борзя, ул. Богдана Хмельницкого, д. 2</t>
  </si>
  <si>
    <t>г. Борзя, ул. Гурьева 79 квартал, д. 1</t>
  </si>
  <si>
    <t>г. Борзя, ул. Гурьева 79 квартал, д. 14</t>
  </si>
  <si>
    <t>г. Борзя, ул. Гурьева 80 квартал, д. 13</t>
  </si>
  <si>
    <t>г. Борзя, ул. Карла Маркса, д. 96</t>
  </si>
  <si>
    <t>г. Борзя, ул. Лазо, д. 63</t>
  </si>
  <si>
    <t>г. Борзя, ул. Ленина, д. 1</t>
  </si>
  <si>
    <t>г. Борзя, ул. Ленина, д. 2</t>
  </si>
  <si>
    <t>г. Борзя, ул. Ленина, д. 24</t>
  </si>
  <si>
    <t>г. Борзя, ул. Матросова, д. 18</t>
  </si>
  <si>
    <t>г. Борзя, ул. Матросова, д. 24а</t>
  </si>
  <si>
    <t>г. Борзя, ул. Савватеевская, д. 15</t>
  </si>
  <si>
    <t>г. Борзя, ул. Савватеевская, д. 80</t>
  </si>
  <si>
    <t>г. Борзя, ул. Смирнова, д. 51</t>
  </si>
  <si>
    <t>г. Борзя, ул. Промышленная, д. 39</t>
  </si>
  <si>
    <t>г. Борзя, ул. Чайковского, д. 3</t>
  </si>
  <si>
    <t>г. Борзя, ул. Чайковского, д. 5</t>
  </si>
  <si>
    <t>пгт Шерловая Гора, мкр. 2-й, д. 11</t>
  </si>
  <si>
    <t>пгт. Шерловая гора, ул. Торговая, д. 26</t>
  </si>
  <si>
    <t>пгт. Шерловая Гора, ул. Шахтерская, д. 3</t>
  </si>
  <si>
    <t>Итого по Газимуро-Заводскому муниципальному округу:</t>
  </si>
  <si>
    <t>нп. Рудник Солонечный, ул. Мира, д. 34</t>
  </si>
  <si>
    <t>Итого по Забайкальскому муниципальному округу:</t>
  </si>
  <si>
    <t>пгт. Забайкальск, ул. Комсомольская, д. 1</t>
  </si>
  <si>
    <t>2022(ЧС)</t>
  </si>
  <si>
    <t>пгт. Забайкальск, ул. Комсомольская, д. 21</t>
  </si>
  <si>
    <t>пгт. Забайкальск, ул. Комсомольская, д. 3</t>
  </si>
  <si>
    <t>пгт. Забайкальск, ул. Комсомольская, д. 36</t>
  </si>
  <si>
    <t>пгт. Забайкальск, ул. Нагорная, д. 7</t>
  </si>
  <si>
    <t>пгт. Забайкальск, ул. Пограничная, д. 24а</t>
  </si>
  <si>
    <t>пгт. Забайкальск, ул. Пограничная, д. 36а</t>
  </si>
  <si>
    <t>Итого по Каларскому муниципальному округу:</t>
  </si>
  <si>
    <t>пгт. Новая Чара, ул. Магистральная, д. 28</t>
  </si>
  <si>
    <t>п/ст Куанда, ул. Энтузиастов, д. 10</t>
  </si>
  <si>
    <t>Итого по Карымскому муниципальному округу:</t>
  </si>
  <si>
    <t>пгт. Дарасун, ул. Калинина, д. 12</t>
  </si>
  <si>
    <t>пгт. Дарасун, ул. Калинина, д. 14</t>
  </si>
  <si>
    <t>1964</t>
  </si>
  <si>
    <t>пгт. Дарасун, ул. Калинина, д. 8</t>
  </si>
  <si>
    <t xml:space="preserve"> пгт. Дарасун, ул. Сосновая, д. 1</t>
  </si>
  <si>
    <t>пгт. Дарасун, ул. Сосняк, д. 1</t>
  </si>
  <si>
    <t>1990</t>
  </si>
  <si>
    <t>пгт. Карымское, пер. Дивизионный, д. 2</t>
  </si>
  <si>
    <t>пгт. Карымское, ул. Братьев Васильевых, д. 17</t>
  </si>
  <si>
    <t>пгт. Карымское, ул. Братьев Васильевых, д. 21</t>
  </si>
  <si>
    <t>пгт. Карымское, ул. Ленинградская, д. 14</t>
  </si>
  <si>
    <t>пгт. Карымское, ул. Ленинградская, д. 15</t>
  </si>
  <si>
    <t>пгт. Карымское, ул. Ленинградская, д. 16</t>
  </si>
  <si>
    <t>пгт. Карымское, ул. Ленинградская, д. 24</t>
  </si>
  <si>
    <t>1988</t>
  </si>
  <si>
    <t>пгт. Карымское, ул. Ленинградская, д. 32</t>
  </si>
  <si>
    <t>пгт. Карымское, ул. Ленинградская, д. 52</t>
  </si>
  <si>
    <t>пгт. Курорт-Дарасун, ул. Верхняя, д. 14</t>
  </si>
  <si>
    <t>Итого по Краснокаменскому муниципальному округу:</t>
  </si>
  <si>
    <t>г. Краснокаменск, мкр. 1-й, д. 116</t>
  </si>
  <si>
    <t xml:space="preserve">Панельные </t>
  </si>
  <si>
    <t>г. Краснокаменск, мкр. 2-й, д. 203</t>
  </si>
  <si>
    <t>г. Краснокаменск, мкр. 2-й, д. 205</t>
  </si>
  <si>
    <t>г. Краснокаменск, мкр. 2-й, д. 206</t>
  </si>
  <si>
    <t>г. Краснокаменск, мкр. 2-й, д. 239</t>
  </si>
  <si>
    <t>г. Краснокаменск, мкр. 3-й, д. 307</t>
  </si>
  <si>
    <t>г. Краснокаменск, мкр. 3-й, д. 308</t>
  </si>
  <si>
    <t>г. Краснокаменск, мкр. 3-й, д. 309</t>
  </si>
  <si>
    <t>г. Краснокаменск, мкр. 4-й,  д. 404</t>
  </si>
  <si>
    <t>г. Краснокаменск, мкр. 4-й, д. 439</t>
  </si>
  <si>
    <t>г. Краснокаменск, пр-кт Строителей, д. 5, корп.2</t>
  </si>
  <si>
    <t>п. Целинный, ул. Железнодорожная, д. 4</t>
  </si>
  <si>
    <t>п. Целинный, ул. Железнодорожная, д. 6</t>
  </si>
  <si>
    <t>с. Маргуцек, ул. Губина, д. 48</t>
  </si>
  <si>
    <t>с. Маргуцек, ул. Губина, д. 52</t>
  </si>
  <si>
    <t>с. Маргуцек, ул. Губина, д. 54</t>
  </si>
  <si>
    <t>Итого по Красночикойскому муниципальному округу:</t>
  </si>
  <si>
    <t>с. Красный Чикой, ул. Первомайская, д. 86а</t>
  </si>
  <si>
    <t>с. Красный Чикой, ул. Первомайская, д. 86б</t>
  </si>
  <si>
    <t>Итого по Кыринскому муниципальному округу:</t>
  </si>
  <si>
    <t>с. Кыра, мкр. Северный, д. 5</t>
  </si>
  <si>
    <t xml:space="preserve"> с. Кыра, ул. Пионерская, д. 32</t>
  </si>
  <si>
    <t>Итого по Могойтуйскому муниципальному округу:</t>
  </si>
  <si>
    <t>с. Бильчиртуй, ул. ДОС, д. 175</t>
  </si>
  <si>
    <t>с. Бильчиртуй, ул. ДОС, д. 198</t>
  </si>
  <si>
    <t>с. Бильчиртуй, ул. ДОС, д. 217</t>
  </si>
  <si>
    <t>с. Цугол, ул. Школьная, д. 311</t>
  </si>
  <si>
    <t>с. Цугол, ул. Школьная, д. 312</t>
  </si>
  <si>
    <t>Итого по Могочинскому муниципальному округу:</t>
  </si>
  <si>
    <t>г. Могоча, ул. Аникинская, д. 3</t>
  </si>
  <si>
    <t>5</t>
  </si>
  <si>
    <t>4</t>
  </si>
  <si>
    <t>г. Могоча, ул. Аникинская, д. 9</t>
  </si>
  <si>
    <t>г. Могоча, ул. Березовая, д. 16</t>
  </si>
  <si>
    <t>г. Могоча, ул. Высотная, д. 18</t>
  </si>
  <si>
    <t>г. Могоча, ул. Интернациональная, д. 28а</t>
  </si>
  <si>
    <t>2</t>
  </si>
  <si>
    <t>г. Могоча, ул. Клубная, д. 3</t>
  </si>
  <si>
    <t>6</t>
  </si>
  <si>
    <t>г. Могоча, ул. Комсомольская, д. 3</t>
  </si>
  <si>
    <t>г. Могоча, ул. Комсомольская, д. 6</t>
  </si>
  <si>
    <t>г. Могоча, ул. Комсомольская, д. 7</t>
  </si>
  <si>
    <t>г. Могоча, ул. Комсомольская, д. 8</t>
  </si>
  <si>
    <t>г. Могоча, ул. Комсомольская, д. 9</t>
  </si>
  <si>
    <t>г. Могоча, ул. Садовая, д. 16</t>
  </si>
  <si>
    <t>г. Могоча, ул. Садовая д. 4</t>
  </si>
  <si>
    <t>Итого по Нерчинскому муниципальному округу:</t>
  </si>
  <si>
    <t>г. Нерчинск, ул. Декабристов, д. 7</t>
  </si>
  <si>
    <t>г. Нерчинск, ул. Красноармейская, д. 84</t>
  </si>
  <si>
    <t>г. Нерчинск, ул. Красноармейская, д. 88</t>
  </si>
  <si>
    <t>г. Нерчинск, ул. Первомайская, д. 80</t>
  </si>
  <si>
    <t>г. Нерчинск, ул. Первомайская, д. 94</t>
  </si>
  <si>
    <t>Итого по Оловяннинскому муниципальному округу:</t>
  </si>
  <si>
    <t>пгт. Оловянная, ул. Машиностроительная, д. 4</t>
  </si>
  <si>
    <t>пгт. Оловянная, ул. Машиностроительная, д. 6</t>
  </si>
  <si>
    <t>пгт. Оловянная, ул. Московская, д. 75</t>
  </si>
  <si>
    <t>Кирпичные</t>
  </si>
  <si>
    <t>пгт. Ясногорск, мкр. Луговой, д. 9</t>
  </si>
  <si>
    <t>пгт. Ясногорск, мкр. Советский, д. 2</t>
  </si>
  <si>
    <t>пгт. Ясногорск, мкр. Советский, д. 3</t>
  </si>
  <si>
    <t>пгт. Ясногорск, мкр. Солнечный, д. 1</t>
  </si>
  <si>
    <t>пгт. Ясногорск, мкр. Солнечный, д. 9</t>
  </si>
  <si>
    <t>пгт. Ясногорск, мкр. Степной, д. 1</t>
  </si>
  <si>
    <t>пгт. Ясногорск, ул. Молодежная, д. 4</t>
  </si>
  <si>
    <t>пгт. Ясногорск, ул. Молодежная, д. 5</t>
  </si>
  <si>
    <t>п/ст. Ясная, ул. Ленина, д. 20</t>
  </si>
  <si>
    <t>п/ст. Ясная, ул. Мира, д. 12</t>
  </si>
  <si>
    <t>п/ст. Ясная, ул. Мира, д. 16</t>
  </si>
  <si>
    <t>Итого по Петровск-Забайкальскому муниципальному округу:</t>
  </si>
  <si>
    <t>г. Петровск-Забайкальский, кв-л МЖК, д. 1</t>
  </si>
  <si>
    <t>г. Петровск-Забайкальский, мкр. 1-й, д. 15</t>
  </si>
  <si>
    <t>г. Петровск-Забайкальский, ул. 50 лет ВЛКСМ, д. 37</t>
  </si>
  <si>
    <t>Шлакоблочные</t>
  </si>
  <si>
    <t>г. Петровск-Забайкальский, ул. 50 лет ВЛКСМ, д. 38</t>
  </si>
  <si>
    <t>г. Петровск-Забайкальский, ул. Карла Маркса, д. 15а</t>
  </si>
  <si>
    <t>г. Петровск-Забайкальский, ул. Карла Маркса, д. 17</t>
  </si>
  <si>
    <t>г. Петровск-Забайкальский, ул. Мысовая, д. 60</t>
  </si>
  <si>
    <t>3</t>
  </si>
  <si>
    <t>г. Петровск-Забайкальский, ул. Спортивная, д. 13</t>
  </si>
  <si>
    <t>г. Петровск-Забайкальский, ул. Театральная, д. 1</t>
  </si>
  <si>
    <t>г. Петровск-Забайкальский, ул. Театральная, д. 2</t>
  </si>
  <si>
    <t>Итого по Приаргунскому муниципальному округу:</t>
  </si>
  <si>
    <t>пгт. Приаргунск, мкр. 2-й, д. 3</t>
  </si>
  <si>
    <t>пгт. Приаргунск, мкр. МЖК, д. 1</t>
  </si>
  <si>
    <t>пгт. Приаргунск, мкр. МЖК, д. 2</t>
  </si>
  <si>
    <t>пгт. Приаргунск, ул. Воинов Интернационалистов, д. 1</t>
  </si>
  <si>
    <t>пгт. Приаргунск, ул. Ленина, д. 12</t>
  </si>
  <si>
    <t>пгт. Приаргунск, ул. Октябрьская, д. 5</t>
  </si>
  <si>
    <t>пгт. Приаргунск, ул. Чернышевского, д. 4а</t>
  </si>
  <si>
    <t>п. Досатуй, ул. Привокзальная, д. 2а</t>
  </si>
  <si>
    <t>п. Досатуй, ул. Привокзальная, д. 2б</t>
  </si>
  <si>
    <t>Итого по Сретенскому муниципальному округу:</t>
  </si>
  <si>
    <t>г. Сретенск, мкр. Восточный, д. 20</t>
  </si>
  <si>
    <t>198</t>
  </si>
  <si>
    <t>пгт. Кокуй, ул. Заводская, д. 25</t>
  </si>
  <si>
    <t>пгт. Кокуй, ул. Заводская, д. 27</t>
  </si>
  <si>
    <t>с. Дунаево, ул. Нагорная, д. 8</t>
  </si>
  <si>
    <t>с. Дунаево, ул. Нагорная, д. 30</t>
  </si>
  <si>
    <t>Итого по Тунгокоченскому муниципальному округу:</t>
  </si>
  <si>
    <t>пгт. Вершино-Дарасунский, ул. Лесная, д. 28</t>
  </si>
  <si>
    <t>с. Верх-Усугли, ул. Первомайская, д. 11а</t>
  </si>
  <si>
    <t>Итого по Улётовскому муниципального округу:</t>
  </si>
  <si>
    <t>пгт. Дровяная, мкр. 1-й, д. 1</t>
  </si>
  <si>
    <t>с. Улёты, ул. Горького, д. 1</t>
  </si>
  <si>
    <t>с. Улёты, ул. Горького, д. 5</t>
  </si>
  <si>
    <t>с. Улёты, ул. Дорожная, д. 10</t>
  </si>
  <si>
    <t>с. Улёты, ул. Дорожная, д. 12</t>
  </si>
  <si>
    <t>Итого по Хилокскому муниципального округу:</t>
  </si>
  <si>
    <t>г. Хилок, ул. Дзержинского, д. 15</t>
  </si>
  <si>
    <t>г. Хилок, ул. Ленина, д. 23а</t>
  </si>
  <si>
    <t>г. Хилок, ул. Новая, д. 20</t>
  </si>
  <si>
    <t>п/ст Жипхеген, ул. Таежная, д. 11</t>
  </si>
  <si>
    <t>п/ст. Жипхеген, ул. Таежная, д. 16</t>
  </si>
  <si>
    <t>с. Бада, ул. Привокзальная, д. 25</t>
  </si>
  <si>
    <t>Итого по Чернышевскому муниципальному округу:</t>
  </si>
  <si>
    <t>пгт. Чернышевск, ул. Журавлева, д. 61</t>
  </si>
  <si>
    <t>пгт. Чернышевск, ул. Карла Маркса, д. 18</t>
  </si>
  <si>
    <t>пгт. Чернышевск, ул. Комсомольская, д. 28</t>
  </si>
  <si>
    <t>пгт. Чернышевск, ул. Северная, д. 2д</t>
  </si>
  <si>
    <t>Итого по Читинскому муниципальному округу:</t>
  </si>
  <si>
    <t>пгт Атамановка, ул. Гагарина, д. 10</t>
  </si>
  <si>
    <t>пгт Атамановка, ул. Гагарина, д. 16</t>
  </si>
  <si>
    <t>пгт Атамановка, ул. Матюгина, д. 129</t>
  </si>
  <si>
    <t>пгт Атамановка, ул. Матюгина, д. 158б</t>
  </si>
  <si>
    <t>пгт. Атамановка, ул. Новая, д. 7</t>
  </si>
  <si>
    <t>пгт. Новокручининский, ул. Заводская, д. 10</t>
  </si>
  <si>
    <t>пгт. Новокручининский, ул. Площадка-2, д. 4</t>
  </si>
  <si>
    <t>пгт. Новокручининский, ул. Российская, д. 3</t>
  </si>
  <si>
    <t>п/ст. Ингода, ул. Нагорная, д. 14</t>
  </si>
  <si>
    <t>с. Домна, ул. Мебельная, д. 15</t>
  </si>
  <si>
    <t>Бревно (брус)</t>
  </si>
  <si>
    <t>с. Засопка, ул. Пионерская, д. 5</t>
  </si>
  <si>
    <t>Итого по Шилкинскому муниципальному округу:</t>
  </si>
  <si>
    <t>в том числе по городскому поселению "Шилкинское":</t>
  </si>
  <si>
    <t>г. Шилка, мкр. Аргунь, д. 2</t>
  </si>
  <si>
    <t>г. Шилка, мкр. Аргунь, д. 3</t>
  </si>
  <si>
    <t>г. Шилка, мкр. Аргунь, д. 4</t>
  </si>
  <si>
    <t>г. Шилка, ул. Балябина, д. 131</t>
  </si>
  <si>
    <t>1975</t>
  </si>
  <si>
    <t>г. Шилка, ул. Балябина, д. 133</t>
  </si>
  <si>
    <t>г. Шилка, ул. Балябина, д. 134</t>
  </si>
  <si>
    <t>г. Шилка, ул. Балябина, д. 134а</t>
  </si>
  <si>
    <t>1982</t>
  </si>
  <si>
    <t>г. Шилка, ул. Балябина, д. 136</t>
  </si>
  <si>
    <t>г. Шилка, ул. Котовского, д. 2</t>
  </si>
  <si>
    <t>г. Шилка, ул. Ленина, д. 88</t>
  </si>
  <si>
    <t>г. Шилка, ул. Партизанская, д. 3</t>
  </si>
  <si>
    <t>г. Шилка, ул. Партизанская, д. 5</t>
  </si>
  <si>
    <t>г. Шилка, ул. Погодаева, д. 13</t>
  </si>
  <si>
    <t>г. Шилка, ул. Пролетарская, д. 42</t>
  </si>
  <si>
    <t>г. Шилка, ул. им. Пузырева, д. 4</t>
  </si>
  <si>
    <t>г. Шилка, ул. Соболева, д. 13</t>
  </si>
  <si>
    <t>г. Шилка, ул. Соболева, д. 9</t>
  </si>
  <si>
    <t>в том числе по городскому поселению "Первомайское":</t>
  </si>
  <si>
    <t>пгт. Первомайский, нп. Микрорайон д. 12</t>
  </si>
  <si>
    <t>пгт. Первомайский, нп. Микрорайон, д. 2</t>
  </si>
  <si>
    <t>пгт. Первомайский, нп. Микрорайон, д. 4</t>
  </si>
  <si>
    <t>пгт. Первомайский, ул. 8 Марта, д. 1</t>
  </si>
  <si>
    <t>пгт. Первомайский, ул. Забайкальская, д. 18</t>
  </si>
  <si>
    <t>1</t>
  </si>
  <si>
    <t>пгт. Первомайский, ул. Ингодинская, д. 11</t>
  </si>
  <si>
    <t>пгт. Первомайский, ул. Мира, д. 21</t>
  </si>
  <si>
    <t>пгт. Первомайский, ул. Мира, д. 26</t>
  </si>
  <si>
    <t>пгт. Первомайский, ул. Ленина, д. 16</t>
  </si>
  <si>
    <t>пгт. Первомайский, ул. Пролетарская, д. 12а</t>
  </si>
  <si>
    <t>пгт. Первомайский, ул. Пролетарская, д. 24</t>
  </si>
  <si>
    <t>пгт. Первомайский, ул. Пролетарская, д. 26</t>
  </si>
  <si>
    <t>пгт. Первомайский, ул. Строительная, д. 5, блок А</t>
  </si>
  <si>
    <t>пгт. Первомайский, ул. Строительная, д. 9 а</t>
  </si>
  <si>
    <t>х</t>
  </si>
  <si>
    <t>пгт. Первомайский, ул. Чернышевского, д. 5</t>
  </si>
  <si>
    <t>пгт. Первомайский, ул. Чернышевского, д. 9а</t>
  </si>
  <si>
    <t>с. Солнцево, ул. Станционная, д. 7</t>
  </si>
  <si>
    <t>2022 (ЧС)</t>
  </si>
  <si>
    <t>в том числе по городскому поселению "Холобонское":</t>
  </si>
  <si>
    <t>пгт. Холбон, ул. Больничная, д. 1</t>
  </si>
  <si>
    <t>пгт. Холбон, ул. Просвещенская, д. 14</t>
  </si>
  <si>
    <t>пгт. Холбон, ул. Садовая, д. 13</t>
  </si>
  <si>
    <t>1939</t>
  </si>
  <si>
    <t>Деревянные, брусовые</t>
  </si>
  <si>
    <t>в том числе по сельскому поселению "Размахнинское":</t>
  </si>
  <si>
    <t>с. Размахнино, ул. Энергетиков, д. 4</t>
  </si>
  <si>
    <t>с. Размахнино, ул. Энергетиков, д. 6</t>
  </si>
  <si>
    <t xml:space="preserve">2027 год </t>
  </si>
  <si>
    <t>г. Чита, б-р. Украинский, д. 1</t>
  </si>
  <si>
    <t>12.2027</t>
  </si>
  <si>
    <t>г. Чита, б-р. Украинский, д. 12</t>
  </si>
  <si>
    <t>г. Чита, б-р. Украинский, д. 22</t>
  </si>
  <si>
    <t>г. Чита, мкр. 5-й, д. 19</t>
  </si>
  <si>
    <t>г. Чита, мкр. Батарейный, д. 3</t>
  </si>
  <si>
    <t>г. Чита, мкр. Гвардейский, д. 6</t>
  </si>
  <si>
    <t>г. Чита, мкр. Осетровка, д. 30</t>
  </si>
  <si>
    <t>г. Чита, мкр. Северный, д. 58</t>
  </si>
  <si>
    <t>г. Чита, мкр. Северный, д. 62</t>
  </si>
  <si>
    <t>2001</t>
  </si>
  <si>
    <t>93,50,9</t>
  </si>
  <si>
    <t>г. Чита, мкр. Северный, д. 63</t>
  </si>
  <si>
    <t>г. Чита, мкр. ТУСМ-4, д. 6</t>
  </si>
  <si>
    <t>г. Чита, пер. Железобетонный, д. 4а</t>
  </si>
  <si>
    <t>г. Чита, пр-кт. Советов, д. 7</t>
  </si>
  <si>
    <t>г. Чита, пр-кт. Фадеева, д. 5</t>
  </si>
  <si>
    <t>г. Чита, проезд Авиаторов, д. 23</t>
  </si>
  <si>
    <t>г. Чита, проезд Новодевичий, д. 16</t>
  </si>
  <si>
    <t>г. Чита, проезд Полковой, д. 6а</t>
  </si>
  <si>
    <t>г. Чита, ул. 2-я Верхневокзальная, д. 16</t>
  </si>
  <si>
    <t>г. Чита, ул. 5-я Малая, д. 1в</t>
  </si>
  <si>
    <t>г. Чита, ул. 5-я Малая, д. 3а</t>
  </si>
  <si>
    <t>г. Чита, ул. 9 Января, д. 50</t>
  </si>
  <si>
    <t>г. Чита, ул. Амурская, д. 23</t>
  </si>
  <si>
    <t>г. Чита, ул. Амурская, д. 84</t>
  </si>
  <si>
    <t>г. Чита, ул. Амурская, д. 98</t>
  </si>
  <si>
    <t>г. Чита, ул. Анохина, д. 4</t>
  </si>
  <si>
    <t>г. Чита, ул. Бекетова, д. 20в</t>
  </si>
  <si>
    <t>г. Чита, ул. Богомягкова, д. 24</t>
  </si>
  <si>
    <t>г. Чита, ул. Гагарина, д. 11</t>
  </si>
  <si>
    <t>г. Чита, ул. Гагарина, д. 4</t>
  </si>
  <si>
    <t>г. Чита, ул. Георгия Костина, д. 49</t>
  </si>
  <si>
    <t>г. Чита, ул. Горбунова, д. 19</t>
  </si>
  <si>
    <t>2013</t>
  </si>
  <si>
    <t>г. Чита, ул. Журавлева, д. 61</t>
  </si>
  <si>
    <t>г. Чита, ул. Журавлева, д. 74</t>
  </si>
  <si>
    <t>1996</t>
  </si>
  <si>
    <t>г. Чита, ул. Ингодинская, д. 4</t>
  </si>
  <si>
    <t>г. Чита, ул. Казачья, д. 24</t>
  </si>
  <si>
    <t>г. Чита, ул. Казачья, д. 3г</t>
  </si>
  <si>
    <t>г. Чита, ул. Каларская, д. 2б</t>
  </si>
  <si>
    <t>г. Чита, ул. Космонавтов, д. 1</t>
  </si>
  <si>
    <t>г. Чита, ул. Космонавтов, д. 22</t>
  </si>
  <si>
    <t>г. Чита, ул. Красной Звезды, д. 8</t>
  </si>
  <si>
    <t>г. Чита, ул. Крымская, д. 10</t>
  </si>
  <si>
    <t>г. Чита, ул. Крымская, д. 8</t>
  </si>
  <si>
    <t>г. Чита, ул. Лазо, д. 65</t>
  </si>
  <si>
    <t>г. Чита, ул. Ленина, д. 21а</t>
  </si>
  <si>
    <t>г. Чита, ул. Ленина, д. 25</t>
  </si>
  <si>
    <t>г. Чита, ул. Ленина, д. 52</t>
  </si>
  <si>
    <t>г. Чита, ул. Ленина, д. 9</t>
  </si>
  <si>
    <t>2009</t>
  </si>
  <si>
    <t>г. Чита, ул. Ленинградская, д. 77а</t>
  </si>
  <si>
    <t>2026</t>
  </si>
  <si>
    <t>г. Чита, ул. Мостовая, д. 7</t>
  </si>
  <si>
    <t>г. Чита, ул. Набережная, д. 56</t>
  </si>
  <si>
    <t>г. Чита, ул. Набережная, д. 66а</t>
  </si>
  <si>
    <t>г. Чита, ул. Нерчинская, д. 1</t>
  </si>
  <si>
    <t>г. Чита, ул. Николая Островского, д. 20</t>
  </si>
  <si>
    <t>г. Чита, ул. Новобульварная, д. 113</t>
  </si>
  <si>
    <t>г. Чита, ул. Пригородная, д. 2</t>
  </si>
  <si>
    <t>г. Чита, ул. Промышленная, д. 51а</t>
  </si>
  <si>
    <t>г. Чита, ул. Смоленская, д. 119</t>
  </si>
  <si>
    <t>г. Чита, ул. Смоленская, д. 123</t>
  </si>
  <si>
    <t>г. Чита, ул. Столярова, д. 23</t>
  </si>
  <si>
    <t>г. Чита, ул. Столярова, д. 44</t>
  </si>
  <si>
    <t>г. Чита, ул. Тобольская, д. 2а, корп. 1</t>
  </si>
  <si>
    <t>г. Чита, ул. Тобольская, д. 2а, корп. 2</t>
  </si>
  <si>
    <t>г. Чита, ул. Токмакова, д. 23</t>
  </si>
  <si>
    <t>г. Чита, ул. Угданская, д. 59</t>
  </si>
  <si>
    <t>г. Чита, ул. Хабаровская, д. 4</t>
  </si>
  <si>
    <t>г. Чита, ул. Чкалова, д. 1</t>
  </si>
  <si>
    <t>г. Чита, ул. Чкалова, д. 126</t>
  </si>
  <si>
    <t>г. Чита, ул. Чкалова, д. 25</t>
  </si>
  <si>
    <t>г. Чита, ул. Энтузиастов, д. 11</t>
  </si>
  <si>
    <t>пгт. Агинское, ул. Комсомольская, д. 61</t>
  </si>
  <si>
    <r>
      <rPr>
        <sz val="11"/>
        <rFont val="Times New Roman"/>
        <family val="1"/>
        <charset val="204"/>
      </rPr>
      <t>пгт. Новоорловск, д. 21</t>
    </r>
    <r>
      <rPr>
        <vertAlign val="superscript"/>
        <sz val="11"/>
        <rFont val="Times New Roman"/>
        <family val="1"/>
        <charset val="204"/>
      </rPr>
      <t xml:space="preserve"> </t>
    </r>
  </si>
  <si>
    <t>г. Балей, кв-л А, д. 3</t>
  </si>
  <si>
    <t>г. Балей, ул. Больничная, д. 1</t>
  </si>
  <si>
    <t>г. Балей, ул. Комбинатская, д. 6</t>
  </si>
  <si>
    <t>г. Балей, ул. Октябрьская, д. 100</t>
  </si>
  <si>
    <t>г. Балей, ул. Октябрьская, д. 102</t>
  </si>
  <si>
    <t>г. Балей, ул. Октябрьская, д. 117</t>
  </si>
  <si>
    <t xml:space="preserve"> г. Борзя, пер. Переездный, д. 2</t>
  </si>
  <si>
    <t>г. Борзя, ул. Ломоносова, д. 2</t>
  </si>
  <si>
    <t xml:space="preserve"> г. Борзя, ул. Ломоносова, д. 7</t>
  </si>
  <si>
    <t>г. Борзя, ул. Метелицы, д. 30</t>
  </si>
  <si>
    <t>г. Борзя, ул. Нагорная, д. 12</t>
  </si>
  <si>
    <t>г. Борзя, ул. Советская, д. 30</t>
  </si>
  <si>
    <t>г. Борзя, ул. Чайковского, д. 9</t>
  </si>
  <si>
    <t>п. Новоширокинский, д. 2</t>
  </si>
  <si>
    <t>п. Новоширокинский, д. 10</t>
  </si>
  <si>
    <t>п. Новоширокинский, д. 12</t>
  </si>
  <si>
    <t>п. Новоширокинский, д. 9</t>
  </si>
  <si>
    <t>пгт. Забайкальск, ул. Комсомольская, д. 19</t>
  </si>
  <si>
    <t>п/ст Куанда, ул. 8 Марта, д. 7</t>
  </si>
  <si>
    <t>п/ст Куанда, ул. Советская, д. 12а</t>
  </si>
  <si>
    <t>Итого по Калганскому муниципальному округу:</t>
  </si>
  <si>
    <t>с. Калга, ул. 60 лет Октября, д. 13</t>
  </si>
  <si>
    <t>с. Калга, ул. 60 лет Октября, д. 19</t>
  </si>
  <si>
    <t>пгт Дарасун, ул. Калинина, д. 12</t>
  </si>
  <si>
    <t>пгт Дарасун, ул. Калинина, д. 16</t>
  </si>
  <si>
    <t>пгт. Дарасун, ул. Молодежная, д. 2</t>
  </si>
  <si>
    <t>пгт. Дарасун, ул. Молодежная, д. 6</t>
  </si>
  <si>
    <t>пгт. Дарасун, ул. Советская, д. 2</t>
  </si>
  <si>
    <t>1952</t>
  </si>
  <si>
    <t>пгт. Карымское, ул. Верхняя, д. 7</t>
  </si>
  <si>
    <t>пгт. Карымское, ул. Шемелина, д. 1</t>
  </si>
  <si>
    <t>пгт. Курорт-Дарасун, ул. Военный санаторий, д. 3</t>
  </si>
  <si>
    <t>пгт. Курорт-Дарасун, ул. Военный санаторий, д. 4</t>
  </si>
  <si>
    <t>с. Большая Тура, ул. Железнодорожная, д. 119</t>
  </si>
  <si>
    <t>с. Большая Тура, ул. Железнодорожная, д. 120</t>
  </si>
  <si>
    <t>с. Большая Тура, ул. Трактовая, д. 113</t>
  </si>
  <si>
    <t>г. Краснокаменск, мкр. Центральный, д. 3ц</t>
  </si>
  <si>
    <t>г. Краснокаменск, мкр. Центральный, д. 4ц</t>
  </si>
  <si>
    <t>с. Маргуцек, ул. Губина, д. 44</t>
  </si>
  <si>
    <t>с. Красный Чикой, ул. Первомайская, д. 76а</t>
  </si>
  <si>
    <t>г. Нерчинск, ул. Строительная, д. 2</t>
  </si>
  <si>
    <t>г. Нерчинск, ул. Студгородок, д. 3</t>
  </si>
  <si>
    <t>г. Нерчинск, ул. Студгородок, д. 4</t>
  </si>
  <si>
    <t>пгт. Оловянная, ул. Гагарина, д. 17</t>
  </si>
  <si>
    <t>пгт. Оловянная, ул. Гагарина, д. 23</t>
  </si>
  <si>
    <t>пгт. Оловянная, ул. Гагарина, д. 25</t>
  </si>
  <si>
    <t>пгт. Оловянная, ул. Гагарина, д. 27</t>
  </si>
  <si>
    <t>пгт. Оловянная, ул. Машиностроительная, д. 5</t>
  </si>
  <si>
    <t>пгт. Оловянная, ул. Московская, д. 38</t>
  </si>
  <si>
    <t>пгт. Ясногорск, мкр. Луговой, д. 5</t>
  </si>
  <si>
    <t>п/ст. Ясная, пер. Солнечный, д. 2</t>
  </si>
  <si>
    <t>п/ст. Ясная, ул. 50 лет Октября, д. 1</t>
  </si>
  <si>
    <t>п/ст. Ясная, ул. 50 лет Октября, д. 2</t>
  </si>
  <si>
    <t>п/ст. Ясная, ул. 50 лет Октября, д. 3</t>
  </si>
  <si>
    <t>п/ст. Ясная, ул. 50 лет Октября, д. 5</t>
  </si>
  <si>
    <t>п/ст. Ясная, ул. 50 лет Октября, д. 7</t>
  </si>
  <si>
    <t>п/ст. Ясная, ул. Комсомольская, д. 1</t>
  </si>
  <si>
    <t>п/ст. Ясная, ул. Комсомольская, д. 3</t>
  </si>
  <si>
    <t>п/ст. Ясная, ул. Комсомольская, д. 5</t>
  </si>
  <si>
    <t>п/ст. Ясная, ул. Мира, д. 4</t>
  </si>
  <si>
    <t>г. Петровск-Забайкальский, ул.Ленина, д.19 а</t>
  </si>
  <si>
    <t>г. Петровск-Забайкальский, ул. Ленина, д. 24</t>
  </si>
  <si>
    <t>г. Петровск-Забайкальский, ул. Мысовая, д. 57</t>
  </si>
  <si>
    <t>г. Петровск-Забайкальский, ул. Островского, д. 32г</t>
  </si>
  <si>
    <t>г. Петровск-Забайкальский, ул. Спортивная, д. 8</t>
  </si>
  <si>
    <t>г. Петровск-Забайкальский, Спортивная, д. 23</t>
  </si>
  <si>
    <t>пгт. Приаргунск, ул. Декабристов, д. 12</t>
  </si>
  <si>
    <t>пгт. Приаргунск, ул. Комсомольская, д. 10</t>
  </si>
  <si>
    <t>пгт. Приаргунск, ул. Чернышевского, д. 6</t>
  </si>
  <si>
    <t>г. Сретенск, ул. Гагарина, д. 19</t>
  </si>
  <si>
    <t>г. Сретенск, ул. Карелина, д. 58</t>
  </si>
  <si>
    <t>с. Верх-Усугли, ул. Первомайская, д. 11</t>
  </si>
  <si>
    <t xml:space="preserve"> г. Хилок, ул. Ленина, д. 23а</t>
  </si>
  <si>
    <t>с. Бада, г-к Северный, д. 2</t>
  </si>
  <si>
    <t>с. Бада, г-к Северный, д. 3</t>
  </si>
  <si>
    <t>пгт. Аксёново-Зиловское, ул. Энергетиков, д. 5</t>
  </si>
  <si>
    <t>пгт. Чернышевск, ул. Журавлева, д. 53</t>
  </si>
  <si>
    <t>пгт. Чернышевск, ул. Журавлева, д. 73</t>
  </si>
  <si>
    <t>пгт. Чернышевск, ул. Комсомольская, д. 26</t>
  </si>
  <si>
    <t>пгт. Чернышевск, ул. Первомайская, д. 29</t>
  </si>
  <si>
    <t>пгт. Чернышевск, ул. Первомайская, д. 33</t>
  </si>
  <si>
    <t>пгт. Атамановка, ул. Заводская, д. 12</t>
  </si>
  <si>
    <t>пгт. Атамановка, ул. Заводская, д. 3</t>
  </si>
  <si>
    <t>пгт Атамановка, ул. Связи, д. 42</t>
  </si>
  <si>
    <t>пгт. Новокручининский, ул. Заводская, д. 5</t>
  </si>
  <si>
    <t>пгт. Новокручининский, ул. Подлесная, д. 18</t>
  </si>
  <si>
    <t>пгт. Новокручининский, ул. Российская, д. 1</t>
  </si>
  <si>
    <t>п/ст. Гонгота, ул. ДОС, д. 5</t>
  </si>
  <si>
    <t>с. Лесной городок, ул. Трактовая, д. 2</t>
  </si>
  <si>
    <t>с. Лесной городок, ул. Трактовая, д. 3</t>
  </si>
  <si>
    <t>с. Лесной городок, ул. Центральная, д. 3</t>
  </si>
  <si>
    <t>с. Лесной городок, ул. Центральная, д. 4</t>
  </si>
  <si>
    <t>с. Маккавеево, ул. Молодежная, д. 65</t>
  </si>
  <si>
    <t>с. Смоленка, Военный городок 31, д. 2</t>
  </si>
  <si>
    <t>с. Смоленка, Военный городок 31, д. 3</t>
  </si>
  <si>
    <t>Итого по Шелопугинскому муниципальному округу:</t>
  </si>
  <si>
    <r>
      <rPr>
        <sz val="11"/>
        <rFont val="Times New Roman"/>
        <family val="1"/>
        <charset val="204"/>
      </rPr>
      <t>с. Шелопугино, ул. Лазо, д. 8</t>
    </r>
    <r>
      <rPr>
        <vertAlign val="superscript"/>
        <sz val="11"/>
        <rFont val="Times New Roman"/>
        <family val="1"/>
        <charset val="204"/>
      </rPr>
      <t>(1,4)</t>
    </r>
  </si>
  <si>
    <t>г. Шилка, мкр. Северный, д. 3</t>
  </si>
  <si>
    <t>пгт. Первомайский, ул. Ингодинская, д. 9а</t>
  </si>
  <si>
    <t>пгт. Первомайский, ул. Ленина, д. 14</t>
  </si>
  <si>
    <t>пгт. Первомайский, ул. Пролетарская, д. 16</t>
  </si>
  <si>
    <t>пгт. Первомайский, ул. Строительная, д. 5, блок Б</t>
  </si>
  <si>
    <t>пгт. Первомайский, ул. Строительная, д. 20</t>
  </si>
  <si>
    <t>пгт. Холбон, ул. Советская, д. 6</t>
  </si>
  <si>
    <t>1936</t>
  </si>
  <si>
    <t>2028 год</t>
  </si>
  <si>
    <t>Итого по Забайкальскому краю</t>
  </si>
  <si>
    <t>12.2028</t>
  </si>
  <si>
    <t>г. Чита, ул. Донская, д. 4</t>
  </si>
  <si>
    <t>г. Чита, ул. Ленинградская, д. 76</t>
  </si>
  <si>
    <t>г. Чита, ул. Малая, д. 4</t>
  </si>
  <si>
    <t>пгт. Агинское, ул. ДСУ, д. 14</t>
  </si>
  <si>
    <t>г. Борзя, ул. Дзержинского, д. 7</t>
  </si>
  <si>
    <t>г. Борзя, ул. Ленина, д. 3</t>
  </si>
  <si>
    <t>г. Борзя, ул. Матросова, д. 25</t>
  </si>
  <si>
    <t>пгт. Шерловая Гора, мкр. 2-й, д. 11</t>
  </si>
  <si>
    <t>пгт. Шерловая Гора, мкр. 2-й, д. 3</t>
  </si>
  <si>
    <t>пгт. Шерловая Гора, ул. Дзержинского, д. 5</t>
  </si>
  <si>
    <t>пгт. Шерловая Гора, ул. Калинина, д. 1</t>
  </si>
  <si>
    <t>пгт. Шерловая Гора, ул. Учанина, д. 3</t>
  </si>
  <si>
    <t>пгт. Шерловая Гора, ул. Шахтерская, д. 2</t>
  </si>
  <si>
    <t>пгт. Шерловая Гора, ул. Шахтерская, д. 6</t>
  </si>
  <si>
    <t>п. Новоширокинский, д. 3</t>
  </si>
  <si>
    <t>пгт. Новая Чара, ул. Магистральная, д. 16</t>
  </si>
  <si>
    <t>2018, 2025</t>
  </si>
  <si>
    <t>пгт. Новая Чара, ул. Магистральная, д. 18</t>
  </si>
  <si>
    <t>пгт. Новая Чара, ул. Магистральная, д. 28б</t>
  </si>
  <si>
    <t>пгт. Новая Чара, ул. Магистральная, д. 30</t>
  </si>
  <si>
    <t>п/ст. Куанда, ул. 8 Марта, д. 8</t>
  </si>
  <si>
    <t>п/ст. Куанда, ул. Советская, д. 10 а</t>
  </si>
  <si>
    <t>п/ст. Куанда, ул. Энтузиастов, д. 10</t>
  </si>
  <si>
    <t>с. Калга, ул. 60 лет Октября, д. 11</t>
  </si>
  <si>
    <t>г. Могоча, ул. Малокрестьянская д. 38</t>
  </si>
  <si>
    <t>п/ст. Семиозёрный, ул. Энергетиков, д. 1</t>
  </si>
  <si>
    <t>г. Нерчинск, ул. Декабристов, д. 37</t>
  </si>
  <si>
    <t>г. Нерчинск, ул. Сибирская, д. 8</t>
  </si>
  <si>
    <t>г. Нерчинск, ул. Шилова, д. 36</t>
  </si>
  <si>
    <t>п/ст. Ясная, ул. Мира, д. 3</t>
  </si>
  <si>
    <t>г. Петровск-Забайкальский, ул.Спортивная, д. 16</t>
  </si>
  <si>
    <t>пгт. Вершино-Дарасунский, ул. Юбилейная, д. 1а</t>
  </si>
  <si>
    <t>с. Верх-Усугли, ул. Пролетарская, д. 12</t>
  </si>
  <si>
    <t>п/ст. Жипхеген, ул. Таежная, д. 14</t>
  </si>
  <si>
    <t>п/ст. Жипхеген, ул. Таежная, д. 18</t>
  </si>
  <si>
    <t>пгт. Аксёново-Зиловское, ул. Энергетиков, д. 3</t>
  </si>
  <si>
    <t>пгт. Атамановка, ул. Матюгина, д. 154</t>
  </si>
  <si>
    <t>пгт Атамановка, ул. Связи, д. 24а</t>
  </si>
  <si>
    <t>с. Маккавеево, ул. Бутина, д. 49а</t>
  </si>
  <si>
    <t>с. Маккавеево, ул. Бутина, д. 54</t>
  </si>
  <si>
    <t>пгт. Первомайский, нп Микрорайон, д. 4</t>
  </si>
  <si>
    <t>пгт. Первомайский, нп. Микрорайон д.12</t>
  </si>
  <si>
    <t>пгт. Первомайский, ул. Белинского, д. 4</t>
  </si>
  <si>
    <t>СПРАВОЧНО:</t>
  </si>
  <si>
    <t>Перечень многоквартирных домов, сменивших способ формирования фонда капитального ремонта, в которых в период 2017-2025 годов выполнены работы по капитальному ремонту, и многоквартирных домов, в которых работы выполнены, но не учтены ранее</t>
  </si>
  <si>
    <t>г. Чита, мкр. Агрогородок Опытный, д. 4</t>
  </si>
  <si>
    <t>г. Чита, мкр. 5-й, д. 28</t>
  </si>
  <si>
    <t>г. Чита, мкр. 6-й, д. 1</t>
  </si>
  <si>
    <t>г. Чита, мкр. Северный, д. 43</t>
  </si>
  <si>
    <t>г. Чита, пр-кт. Советов, д. 13</t>
  </si>
  <si>
    <t>г. Чита, ул. Амурская, д. 57</t>
  </si>
  <si>
    <t>г. Чита, ул. Ангарская, д. 46</t>
  </si>
  <si>
    <t>г. Чита, ул. Бутина, д. 123</t>
  </si>
  <si>
    <t>г. Чита, ул. Ватутина, д. 25</t>
  </si>
  <si>
    <t>г. Чита, ул. Евгения Гаюсана, д. 4</t>
  </si>
  <si>
    <t>г. Чита, ул. Звездная, д. 12</t>
  </si>
  <si>
    <t>г. Чита, ул. Инструментальная, д. 2</t>
  </si>
  <si>
    <t>г. Чита, ул. Инструментальная, д. 6</t>
  </si>
  <si>
    <t>г. Чита, ул. Кайдаловская, д. 3</t>
  </si>
  <si>
    <t>г. Чита, ул. Кастринская, д. 4</t>
  </si>
  <si>
    <t>г. Чита, ул. Ленина, д. 42</t>
  </si>
  <si>
    <t>г. Чита, ул. Мысовская, д. 33</t>
  </si>
  <si>
    <t>г. Чита, ул. Петровская, д. 24</t>
  </si>
  <si>
    <t>г. Чита, ул. Текстильщиков, д. 36</t>
  </si>
  <si>
    <t>г. Чита, ул. Текстильщиков, д. 37</t>
  </si>
  <si>
    <t>2014</t>
  </si>
  <si>
    <t>пгт. Забайкальск, ул. Железнодорожная, д. 1б</t>
  </si>
  <si>
    <t xml:space="preserve"> пгт. Курорт-Дарасун, ул. Верхняя, д. 10</t>
  </si>
  <si>
    <t>г. Краснокаменск, мкр. 2-й, д. 204</t>
  </si>
  <si>
    <t>г. Краснокаменск, мкр. 2-й, д. 251</t>
  </si>
  <si>
    <t>г. Краснокаменск, мкр. 6-й, д. 608</t>
  </si>
  <si>
    <t>г. Краснокаменск, мкр. 6-й, д. 611</t>
  </si>
  <si>
    <t>г. Краснокаменск, мкр. 6-й, д. 612</t>
  </si>
  <si>
    <t>г. Краснокаменск, мкр. 6-й, д. 613</t>
  </si>
  <si>
    <t>г. Краснокаменск, мкр. 6-й, д. 625</t>
  </si>
  <si>
    <t>г. Краснокаменск, мкр. 6-й, д. 626</t>
  </si>
  <si>
    <t>г. Краснокаменск, мкр. 6-й, д. 627</t>
  </si>
  <si>
    <t>г. Краснокаменск, мкр. 6-й, д. 630</t>
  </si>
  <si>
    <t>г. Краснокаменск, мкр. 6-й, д. 632</t>
  </si>
  <si>
    <t>г. Краснокаменск, мкр. Восточный, д. 2в</t>
  </si>
  <si>
    <t>г. Краснокаменск, пр-кт Строителей, д. 13, корп.1</t>
  </si>
  <si>
    <t xml:space="preserve"> г. Могоча, ул. Интернациональная, д. 31</t>
  </si>
  <si>
    <t>Итого по муниципальному району "Сретенский район":</t>
  </si>
  <si>
    <t>в том числе по городскому поселению "Кокуйское"</t>
  </si>
  <si>
    <t>пгт. Кокуй, ул. Заводская, д. 11</t>
  </si>
  <si>
    <t>пгт. Кокуй, ул. Ленина, д. 1</t>
  </si>
  <si>
    <t>пгт. Кокуй, ул. Набережная 1-я, д. 14</t>
  </si>
  <si>
    <t>с. Верх-Усугли, ул. Первомайская, д. 6</t>
  </si>
  <si>
    <t>пгт. Новокручининский, ул. Фабричная, д. 1</t>
  </si>
  <si>
    <t xml:space="preserve">Таблица 2. Планируемые показатели выполнения Регионального краткосрочного плана реализации Региональной программы капитального ремонта общего имущества в многоквартирных домах, расположенных  на территории Забайкальского края, на период 2026-2028 годов </t>
  </si>
  <si>
    <t>Наименование МО</t>
  </si>
  <si>
    <t>общая
площадь
МКД, всего</t>
  </si>
  <si>
    <t>Количество
жителей,
зарегистрированных в МКД
на дату утверждения плана</t>
  </si>
  <si>
    <t>Количество МКД</t>
  </si>
  <si>
    <t>I квартал</t>
  </si>
  <si>
    <t>II квартал</t>
  </si>
  <si>
    <t>III квартал</t>
  </si>
  <si>
    <t>IV квартал</t>
  </si>
  <si>
    <t>Всего :</t>
  </si>
  <si>
    <t>ед.</t>
  </si>
  <si>
    <t>Городской округ "Город Чита"</t>
  </si>
  <si>
    <t>Городской округ "Посёлок Агинское"</t>
  </si>
  <si>
    <t>Агинский муниципальный округ</t>
  </si>
  <si>
    <t>Балейский муниципальный округ</t>
  </si>
  <si>
    <t>Борзинский муниципальный округ</t>
  </si>
  <si>
    <t>Газимуро-Заводский муниципальный округ</t>
  </si>
  <si>
    <t>Забайкальский муниципальный округ</t>
  </si>
  <si>
    <t>Каларский муниципальный округ</t>
  </si>
  <si>
    <t>Карымский муниципальный округ</t>
  </si>
  <si>
    <t>Краснокаменский муниципальный округ</t>
  </si>
  <si>
    <t>Красночикойский муниципальный округ</t>
  </si>
  <si>
    <t>Кыринский муниципальный округ</t>
  </si>
  <si>
    <t>Могойтуйский муниципальный округ</t>
  </si>
  <si>
    <t>Могочинский муниципальный округ</t>
  </si>
  <si>
    <t xml:space="preserve">Нерчинский муниципальный округ </t>
  </si>
  <si>
    <t xml:space="preserve">Оловяннинский муниципальный округ </t>
  </si>
  <si>
    <t xml:space="preserve">Петровск-Забайкальский муниципальный округ </t>
  </si>
  <si>
    <t>Приаргунский муниципальный округ</t>
  </si>
  <si>
    <t>Сретенский муниципальный округ</t>
  </si>
  <si>
    <t>Тунгокоченский муниципальный округ</t>
  </si>
  <si>
    <t>Улётовский муниципальный округ</t>
  </si>
  <si>
    <t>Хилокский муниципальный округ</t>
  </si>
  <si>
    <t>Чернышевский муниципальный округ</t>
  </si>
  <si>
    <t>Читинский муниципальный округ</t>
  </si>
  <si>
    <t>Миниципальный район "Шилкинский район",  том числе:</t>
  </si>
  <si>
    <t>по городскому поселению "Шилкинское"</t>
  </si>
  <si>
    <t>по городскому поселению "Первомайское"</t>
  </si>
  <si>
    <t>по городскому поселению "Холбонское"</t>
  </si>
  <si>
    <t>по сельскому поселению "Размахнинское""</t>
  </si>
  <si>
    <t>2027 год</t>
  </si>
  <si>
    <t>Борзинский муниципальный район</t>
  </si>
  <si>
    <t>Калганский муниципальный округ</t>
  </si>
  <si>
    <t>Нерчинский муниципальный округ</t>
  </si>
  <si>
    <t>Шелопугинский муниципальный округ</t>
  </si>
  <si>
    <t>Шилкинский муниципальный округ</t>
  </si>
  <si>
    <t>Оловяннинский муниципальный округ</t>
  </si>
  <si>
    <t>Муниципальгый район "Сретенский район", в том числе:</t>
  </si>
  <si>
    <t>по городскому поселению "Сретенское"</t>
  </si>
  <si>
    <t xml:space="preserve">Таблица 3. Адресный перечень многоквартирных домов, расположенных на территории Забайкальского края, в отношении которых на период 2026-2028 годов планируется проведение капитального ремонта общего имущества, по видам работ по капитальному ремонту </t>
  </si>
  <si>
    <t>Стоимость капитального ремонта ВСЕГО</t>
  </si>
  <si>
    <t>Виды, установленные частью 1 статьи 166 Жилищного Кодекса Российской Федерации</t>
  </si>
  <si>
    <t>Виды, установленные нормативным правовым актом Забайкальского края</t>
  </si>
  <si>
    <t>Виды, установленные частью 3 статьи 166 Жилищного Кодекса Российской Федерации</t>
  </si>
  <si>
    <t>ремонт внутридомовых инженерных систем электро-, тепло-, газо-, водоснабжения, водоотведения</t>
  </si>
  <si>
    <t>Ремонт, замена, модернизация лифтов, ремонт лифтовых шахт, машинных и блочных помещений</t>
  </si>
  <si>
    <t>Ремонт крыши</t>
  </si>
  <si>
    <t>Ремонт подвальных помещений, относящихся к общему имуществу в многоквартирном доме</t>
  </si>
  <si>
    <t>Ремонт фасада</t>
  </si>
  <si>
    <t>Ремонт фундамента многоквартирного дома</t>
  </si>
  <si>
    <t>услуги и (или) работы по оценке технического состояния, разработке проектной документации на проведение капитального ремонта общего имущества многоквартирных домов</t>
  </si>
  <si>
    <t>услуги и (или) работы по оценке технического состояния, разработке проектной документации на проведение капитального ремонта общего имущества многоквартирных домов, являющихся объектами культурного наследия, выявленными объектами культурного наследия</t>
  </si>
  <si>
    <t>услуги по осуществлению строительного контроля</t>
  </si>
  <si>
    <t>услуги и (или) работы по переустройству невентилируемой крыши на вентилируемую крышу, устройству выходов на кровлю</t>
  </si>
  <si>
    <t>электроснабжения</t>
  </si>
  <si>
    <t xml:space="preserve"> теплоснабжения</t>
  </si>
  <si>
    <t>горячего водоснабжения</t>
  </si>
  <si>
    <t>холодного водоснабжения</t>
  </si>
  <si>
    <t>водоотведения</t>
  </si>
  <si>
    <r>
      <t>г. Чита, б-р. Украинский, д. 1</t>
    </r>
    <r>
      <rPr>
        <vertAlign val="superscript"/>
        <sz val="11"/>
        <rFont val="Times New Roman"/>
        <family val="1"/>
        <charset val="204"/>
      </rPr>
      <t>(1)</t>
    </r>
  </si>
  <si>
    <r>
      <t>г. Чита, б-р. Украинский, д. 10</t>
    </r>
    <r>
      <rPr>
        <vertAlign val="superscript"/>
        <sz val="11"/>
        <rFont val="Times New Roman"/>
        <family val="1"/>
        <charset val="204"/>
      </rPr>
      <t>(4)</t>
    </r>
  </si>
  <si>
    <r>
      <t>г. Чита, б-р. Украинский, д. 14</t>
    </r>
    <r>
      <rPr>
        <vertAlign val="superscript"/>
        <sz val="11"/>
        <rFont val="Times New Roman"/>
        <family val="1"/>
        <charset val="204"/>
      </rPr>
      <t>(8)</t>
    </r>
  </si>
  <si>
    <r>
      <t>г. Чита, б-р. Украинский, д. 18</t>
    </r>
    <r>
      <rPr>
        <vertAlign val="superscript"/>
        <sz val="11"/>
        <rFont val="Times New Roman"/>
        <family val="1"/>
        <charset val="204"/>
      </rPr>
      <t>(2)</t>
    </r>
  </si>
  <si>
    <r>
      <t>г. Чита, б-р. Украинский, д. 22</t>
    </r>
    <r>
      <rPr>
        <vertAlign val="superscript"/>
        <sz val="11"/>
        <rFont val="Times New Roman"/>
        <family val="1"/>
        <charset val="204"/>
      </rPr>
      <t>(1,4)</t>
    </r>
  </si>
  <si>
    <r>
      <t>г. Чита, б-р. Украинский, д. 24</t>
    </r>
    <r>
      <rPr>
        <vertAlign val="superscript"/>
        <sz val="11"/>
        <rFont val="Times New Roman"/>
        <family val="1"/>
        <charset val="204"/>
      </rPr>
      <t>(1)</t>
    </r>
  </si>
  <si>
    <r>
      <t>г. Чита, б-р. Украинский, д. 28</t>
    </r>
    <r>
      <rPr>
        <vertAlign val="superscript"/>
        <sz val="11"/>
        <rFont val="Times New Roman"/>
        <family val="1"/>
        <charset val="204"/>
      </rPr>
      <t>(1,4)</t>
    </r>
  </si>
  <si>
    <r>
      <rPr>
        <sz val="11"/>
        <rFont val="Times New Roman"/>
        <family val="1"/>
        <charset val="204"/>
      </rPr>
      <t>г. Чита, б-р. Украинский, д. 3</t>
    </r>
    <r>
      <rPr>
        <vertAlign val="superscript"/>
        <sz val="11"/>
        <rFont val="Times New Roman"/>
        <family val="1"/>
        <charset val="204"/>
      </rPr>
      <t>(4)</t>
    </r>
  </si>
  <si>
    <t>г. Чита, б-р Украинский, д. 7</t>
  </si>
  <si>
    <r>
      <t>г. Чита, б-р. Украинский, д. 8</t>
    </r>
    <r>
      <rPr>
        <vertAlign val="superscript"/>
        <sz val="11"/>
        <rFont val="Times New Roman"/>
        <family val="1"/>
        <charset val="204"/>
      </rPr>
      <t>(1)</t>
    </r>
  </si>
  <si>
    <r>
      <t>г. Чита, мкр. 1-й, д. 6</t>
    </r>
    <r>
      <rPr>
        <vertAlign val="superscript"/>
        <sz val="11"/>
        <rFont val="Times New Roman"/>
        <family val="1"/>
        <charset val="204"/>
      </rPr>
      <t>(2)</t>
    </r>
  </si>
  <si>
    <r>
      <t>г. Чита, мкр. 4-й, д. 14</t>
    </r>
    <r>
      <rPr>
        <vertAlign val="superscript"/>
        <sz val="11"/>
        <rFont val="Times New Roman"/>
        <family val="1"/>
        <charset val="204"/>
      </rPr>
      <t>(1)</t>
    </r>
  </si>
  <si>
    <r>
      <t>г. Чита, мкр. 4-й, д. 9</t>
    </r>
    <r>
      <rPr>
        <vertAlign val="superscript"/>
        <sz val="11"/>
        <rFont val="Times New Roman"/>
        <family val="1"/>
        <charset val="204"/>
      </rPr>
      <t>(1)</t>
    </r>
  </si>
  <si>
    <r>
      <rPr>
        <sz val="11"/>
        <rFont val="Times New Roman"/>
        <family val="1"/>
        <charset val="204"/>
      </rPr>
      <t>г. Чита, мкр. 5-й, д. 29</t>
    </r>
    <r>
      <rPr>
        <vertAlign val="superscript"/>
        <sz val="11"/>
        <rFont val="Times New Roman"/>
        <family val="1"/>
        <charset val="204"/>
      </rPr>
      <t>(2)</t>
    </r>
  </si>
  <si>
    <r>
      <t>г. Чита, мкр. 6-й, д. 15</t>
    </r>
    <r>
      <rPr>
        <vertAlign val="superscript"/>
        <sz val="11"/>
        <rFont val="Times New Roman"/>
        <family val="1"/>
        <charset val="204"/>
      </rPr>
      <t>(2,8)</t>
    </r>
  </si>
  <si>
    <r>
      <t>г. Чита, мкр. Батарейный, д. 11</t>
    </r>
    <r>
      <rPr>
        <vertAlign val="superscript"/>
        <sz val="11"/>
        <rFont val="Times New Roman"/>
        <family val="1"/>
        <charset val="204"/>
      </rPr>
      <t>(8)</t>
    </r>
  </si>
  <si>
    <r>
      <rPr>
        <sz val="11"/>
        <rFont val="Times New Roman"/>
        <family val="1"/>
        <charset val="204"/>
      </rPr>
      <t>г. Чита, мкр. Батарейный, д. 5</t>
    </r>
    <r>
      <rPr>
        <vertAlign val="superscript"/>
        <sz val="11"/>
        <rFont val="Times New Roman"/>
        <family val="1"/>
        <charset val="204"/>
      </rPr>
      <t>(2,6)</t>
    </r>
  </si>
  <si>
    <r>
      <t>г. Чита, мкр. Батарейный, д. 7</t>
    </r>
    <r>
      <rPr>
        <vertAlign val="superscript"/>
        <sz val="11"/>
        <rFont val="Times New Roman"/>
        <family val="1"/>
        <charset val="204"/>
      </rPr>
      <t>(2,4)</t>
    </r>
  </si>
  <si>
    <r>
      <t>г. Чита, мкр. Гвардейский, д. 7</t>
    </r>
    <r>
      <rPr>
        <vertAlign val="superscript"/>
        <sz val="11"/>
        <rFont val="Times New Roman"/>
        <family val="1"/>
        <charset val="204"/>
      </rPr>
      <t>(2)</t>
    </r>
  </si>
  <si>
    <r>
      <t>г. Чита, мкр. Геофизический, д. 5</t>
    </r>
    <r>
      <rPr>
        <vertAlign val="superscript"/>
        <sz val="11"/>
        <rFont val="Times New Roman"/>
        <family val="1"/>
        <charset val="204"/>
      </rPr>
      <t>(1)</t>
    </r>
  </si>
  <si>
    <r>
      <t>г. Чита, мкр. Геофизический, д. 7</t>
    </r>
    <r>
      <rPr>
        <vertAlign val="superscript"/>
        <sz val="11"/>
        <rFont val="Times New Roman"/>
        <family val="1"/>
        <charset val="204"/>
      </rPr>
      <t>(2)</t>
    </r>
  </si>
  <si>
    <r>
      <rPr>
        <sz val="11"/>
        <rFont val="Times New Roman"/>
        <family val="1"/>
        <charset val="204"/>
      </rPr>
      <t>г. Чита, мкр. Геофизический, д. 8</t>
    </r>
    <r>
      <rPr>
        <vertAlign val="superscript"/>
        <sz val="11"/>
        <rFont val="Times New Roman"/>
        <family val="1"/>
        <charset val="204"/>
      </rPr>
      <t>(1/1)</t>
    </r>
  </si>
  <si>
    <r>
      <rPr>
        <sz val="11"/>
        <rFont val="Times New Roman"/>
        <family val="1"/>
        <charset val="204"/>
      </rPr>
      <t>г. Чита, мкр. Осетровка, д. 12</t>
    </r>
    <r>
      <rPr>
        <vertAlign val="superscript"/>
        <sz val="11"/>
        <rFont val="Times New Roman"/>
        <family val="1"/>
        <charset val="204"/>
      </rPr>
      <t>(1,4)</t>
    </r>
  </si>
  <si>
    <r>
      <rPr>
        <sz val="11"/>
        <rFont val="Times New Roman"/>
        <family val="1"/>
        <charset val="204"/>
      </rPr>
      <t>г. Чита, мкр. Осетровка, д. 19</t>
    </r>
    <r>
      <rPr>
        <vertAlign val="superscript"/>
        <sz val="11"/>
        <rFont val="Times New Roman"/>
        <family val="1"/>
        <charset val="204"/>
      </rPr>
      <t>(1,4)</t>
    </r>
  </si>
  <si>
    <r>
      <t>г. Чита, мкр. Северный, д. 13</t>
    </r>
    <r>
      <rPr>
        <vertAlign val="superscript"/>
        <sz val="11"/>
        <rFont val="Times New Roman"/>
        <family val="1"/>
        <charset val="204"/>
      </rPr>
      <t>(4)</t>
    </r>
  </si>
  <si>
    <r>
      <t>г. Чита, мкр. ТУСМ-4, д. 1</t>
    </r>
    <r>
      <rPr>
        <vertAlign val="superscript"/>
        <sz val="11"/>
        <rFont val="Times New Roman"/>
        <family val="1"/>
        <charset val="204"/>
      </rPr>
      <t>(6)</t>
    </r>
  </si>
  <si>
    <r>
      <rPr>
        <sz val="11"/>
        <rFont val="Times New Roman"/>
        <family val="1"/>
        <charset val="204"/>
      </rPr>
      <t>г. Чита, п. Ясный, д. 3</t>
    </r>
    <r>
      <rPr>
        <vertAlign val="superscript"/>
        <sz val="11"/>
        <rFont val="Times New Roman"/>
        <family val="1"/>
        <charset val="204"/>
      </rPr>
      <t>(4)</t>
    </r>
  </si>
  <si>
    <r>
      <rPr>
        <sz val="11"/>
        <rFont val="Times New Roman"/>
        <family val="1"/>
        <charset val="204"/>
      </rPr>
      <t>г. Чита, п. Ясный, д. 4</t>
    </r>
    <r>
      <rPr>
        <vertAlign val="superscript"/>
        <sz val="11"/>
        <rFont val="Times New Roman"/>
        <family val="1"/>
        <charset val="204"/>
      </rPr>
      <t>(4)</t>
    </r>
  </si>
  <si>
    <r>
      <rPr>
        <sz val="11"/>
        <rFont val="Times New Roman"/>
        <family val="1"/>
        <charset val="204"/>
      </rPr>
      <t>г. Чита, п. Ясный, д. 5</t>
    </r>
    <r>
      <rPr>
        <vertAlign val="superscript"/>
        <sz val="11"/>
        <rFont val="Times New Roman"/>
        <family val="1"/>
        <charset val="204"/>
      </rPr>
      <t>(4)</t>
    </r>
  </si>
  <si>
    <r>
      <rPr>
        <sz val="11"/>
        <rFont val="Times New Roman"/>
        <family val="1"/>
        <charset val="204"/>
      </rPr>
      <t>г. Чита, п. Ясный, д. 6</t>
    </r>
    <r>
      <rPr>
        <vertAlign val="superscript"/>
        <sz val="11"/>
        <rFont val="Times New Roman"/>
        <family val="1"/>
        <charset val="204"/>
      </rPr>
      <t>(4)</t>
    </r>
  </si>
  <si>
    <r>
      <rPr>
        <sz val="11"/>
        <rFont val="Times New Roman"/>
        <family val="1"/>
        <charset val="204"/>
      </rPr>
      <t>г. Чита, пер. Парковый, д. 18</t>
    </r>
    <r>
      <rPr>
        <vertAlign val="superscript"/>
        <sz val="11"/>
        <rFont val="Times New Roman"/>
        <family val="1"/>
        <charset val="204"/>
      </rPr>
      <t>(4)</t>
    </r>
  </si>
  <si>
    <r>
      <rPr>
        <sz val="11"/>
        <rFont val="Times New Roman"/>
        <family val="1"/>
        <charset val="204"/>
      </rPr>
      <t>г. Чита, пер. Промышленный, д. 5</t>
    </r>
    <r>
      <rPr>
        <vertAlign val="superscript"/>
        <sz val="11"/>
        <rFont val="Times New Roman"/>
        <family val="1"/>
        <charset val="204"/>
      </rPr>
      <t>(1)</t>
    </r>
  </si>
  <si>
    <r>
      <rPr>
        <sz val="11"/>
        <rFont val="Times New Roman"/>
        <family val="1"/>
        <charset val="204"/>
      </rPr>
      <t>г. Чита, пр-кт. Советов, д. 5</t>
    </r>
    <r>
      <rPr>
        <vertAlign val="superscript"/>
        <sz val="11"/>
        <rFont val="Times New Roman"/>
        <family val="1"/>
        <charset val="204"/>
      </rPr>
      <t>(6)</t>
    </r>
  </si>
  <si>
    <r>
      <rPr>
        <sz val="11"/>
        <rFont val="Times New Roman"/>
        <family val="1"/>
        <charset val="204"/>
      </rPr>
      <t>г. Чита, пр-кт. Фадеева, д. 24</t>
    </r>
    <r>
      <rPr>
        <vertAlign val="superscript"/>
        <sz val="11"/>
        <rFont val="Times New Roman"/>
        <family val="1"/>
        <charset val="204"/>
      </rPr>
      <t>(7)</t>
    </r>
  </si>
  <si>
    <r>
      <t>г. Чита, тр-кт. Молоковский, д. 114</t>
    </r>
    <r>
      <rPr>
        <vertAlign val="superscript"/>
        <sz val="11"/>
        <rFont val="Times New Roman"/>
        <family val="1"/>
        <charset val="204"/>
      </rPr>
      <t>(6)</t>
    </r>
  </si>
  <si>
    <r>
      <t>г. Чита, ул. 2-я Коммунальная, д. 39</t>
    </r>
    <r>
      <rPr>
        <vertAlign val="superscript"/>
        <sz val="11"/>
        <rFont val="Times New Roman"/>
        <family val="1"/>
        <charset val="204"/>
      </rPr>
      <t>(2)</t>
    </r>
  </si>
  <si>
    <r>
      <t>г. Чита, ул. 2-я Малая, д. 10</t>
    </r>
    <r>
      <rPr>
        <vertAlign val="superscript"/>
        <sz val="11"/>
        <rFont val="Times New Roman"/>
        <family val="1"/>
        <charset val="204"/>
      </rPr>
      <t>(1)</t>
    </r>
  </si>
  <si>
    <r>
      <t>г. Чита, ул. 5-я Малая, д. 1а</t>
    </r>
    <r>
      <rPr>
        <vertAlign val="superscript"/>
        <sz val="11"/>
        <rFont val="Times New Roman"/>
        <family val="1"/>
        <charset val="204"/>
      </rPr>
      <t>(1)</t>
    </r>
  </si>
  <si>
    <r>
      <rPr>
        <sz val="11"/>
        <rFont val="Times New Roman"/>
        <family val="1"/>
        <charset val="204"/>
      </rPr>
      <t>г. Чита, ул. 5-я Малая, д. 1б</t>
    </r>
    <r>
      <rPr>
        <vertAlign val="superscript"/>
        <sz val="11"/>
        <rFont val="Times New Roman"/>
        <family val="1"/>
        <charset val="204"/>
      </rPr>
      <t>(4)</t>
    </r>
  </si>
  <si>
    <r>
      <t>г. Чита, ул. 9 Января, д. 55</t>
    </r>
    <r>
      <rPr>
        <vertAlign val="superscript"/>
        <sz val="11"/>
        <rFont val="Times New Roman"/>
        <family val="1"/>
        <charset val="204"/>
      </rPr>
      <t>(1)</t>
    </r>
  </si>
  <si>
    <r>
      <t>г. Чита, ул. Автозаводская, д. 7</t>
    </r>
    <r>
      <rPr>
        <vertAlign val="superscript"/>
        <sz val="11"/>
        <rFont val="Times New Roman"/>
        <family val="1"/>
        <charset val="204"/>
      </rPr>
      <t>(6)</t>
    </r>
  </si>
  <si>
    <r>
      <t>г. Чита, ул. Александро-Заводская, д. 13</t>
    </r>
    <r>
      <rPr>
        <vertAlign val="superscript"/>
        <sz val="11"/>
        <rFont val="Times New Roman"/>
        <family val="1"/>
        <charset val="204"/>
      </rPr>
      <t>(1)</t>
    </r>
  </si>
  <si>
    <r>
      <t>г. Чита, ул. Амурская, д. 82</t>
    </r>
    <r>
      <rPr>
        <vertAlign val="superscript"/>
        <sz val="11"/>
        <rFont val="Times New Roman"/>
        <family val="1"/>
        <charset val="204"/>
      </rPr>
      <t>(4)</t>
    </r>
  </si>
  <si>
    <r>
      <rPr>
        <sz val="11"/>
        <rFont val="Times New Roman"/>
        <family val="1"/>
        <charset val="204"/>
      </rPr>
      <t>г. Чита, ул. Анохина, д. 3</t>
    </r>
    <r>
      <rPr>
        <vertAlign val="superscript"/>
        <sz val="11"/>
        <rFont val="Times New Roman"/>
        <family val="1"/>
        <charset val="204"/>
      </rPr>
      <t>(1,6)</t>
    </r>
  </si>
  <si>
    <r>
      <rPr>
        <sz val="11"/>
        <rFont val="Times New Roman"/>
        <family val="1"/>
        <charset val="204"/>
      </rPr>
      <t>г. Чита, ул. Анохина, д. 96</t>
    </r>
    <r>
      <rPr>
        <vertAlign val="superscript"/>
        <sz val="11"/>
        <rFont val="Times New Roman"/>
        <family val="1"/>
        <charset val="204"/>
      </rPr>
      <t>(1/1)</t>
    </r>
  </si>
  <si>
    <r>
      <t>г. Чита, ул. Бабушкина, д. 11</t>
    </r>
    <r>
      <rPr>
        <vertAlign val="superscript"/>
        <sz val="11"/>
        <rFont val="Times New Roman"/>
        <family val="1"/>
        <charset val="204"/>
      </rPr>
      <t>(4)</t>
    </r>
  </si>
  <si>
    <r>
      <t>г. Чита, ул. Бабушкина, д. 30</t>
    </r>
    <r>
      <rPr>
        <vertAlign val="superscript"/>
        <sz val="11"/>
        <rFont val="Times New Roman"/>
        <family val="1"/>
        <charset val="204"/>
      </rPr>
      <t>(6)</t>
    </r>
  </si>
  <si>
    <r>
      <t>г. Чита, ул. Бабушкина, д. 32</t>
    </r>
    <r>
      <rPr>
        <vertAlign val="superscript"/>
        <sz val="11"/>
        <rFont val="Times New Roman"/>
        <family val="1"/>
        <charset val="204"/>
      </rPr>
      <t>(</t>
    </r>
    <r>
      <rPr>
        <vertAlign val="superscript"/>
        <sz val="11"/>
        <rFont val="Times New Roman"/>
        <family val="1"/>
        <charset val="204"/>
      </rPr>
      <t>2</t>
    </r>
    <r>
      <rPr>
        <vertAlign val="superscript"/>
        <sz val="11"/>
        <rFont val="Times New Roman"/>
        <family val="1"/>
        <charset val="204"/>
      </rPr>
      <t>)</t>
    </r>
  </si>
  <si>
    <r>
      <t>г. Чита, ул. Бабушкина, д. 34</t>
    </r>
    <r>
      <rPr>
        <vertAlign val="superscript"/>
        <sz val="11"/>
        <rFont val="Times New Roman"/>
        <family val="1"/>
        <charset val="204"/>
      </rPr>
      <t>(7)</t>
    </r>
  </si>
  <si>
    <r>
      <t>г. Чита, ул. Бабушкина, д. 36</t>
    </r>
    <r>
      <rPr>
        <vertAlign val="superscript"/>
        <sz val="11"/>
        <rFont val="Times New Roman"/>
        <family val="1"/>
        <charset val="204"/>
      </rPr>
      <t>(8)</t>
    </r>
  </si>
  <si>
    <r>
      <t>г. Чита, ул. Бабушкина, д. 5</t>
    </r>
    <r>
      <rPr>
        <vertAlign val="superscript"/>
        <sz val="11"/>
        <rFont val="Times New Roman"/>
        <family val="1"/>
        <charset val="204"/>
      </rPr>
      <t>(1,4)</t>
    </r>
  </si>
  <si>
    <r>
      <t>г. Чита, ул. Байкальская, д. 15</t>
    </r>
    <r>
      <rPr>
        <vertAlign val="superscript"/>
        <sz val="11"/>
        <rFont val="Times New Roman"/>
        <family val="1"/>
        <charset val="204"/>
      </rPr>
      <t>(4)</t>
    </r>
  </si>
  <si>
    <r>
      <rPr>
        <sz val="11"/>
        <rFont val="Times New Roman"/>
        <family val="1"/>
        <charset val="204"/>
      </rPr>
      <t>г. Чита, ул. Балябина, д. 45</t>
    </r>
    <r>
      <rPr>
        <vertAlign val="superscript"/>
        <sz val="11"/>
        <rFont val="Times New Roman"/>
        <family val="1"/>
        <charset val="204"/>
      </rPr>
      <t>(1)</t>
    </r>
  </si>
  <si>
    <r>
      <t>г. Чита, ул. Баргузинская, д. 12</t>
    </r>
    <r>
      <rPr>
        <vertAlign val="superscript"/>
        <sz val="11"/>
        <rFont val="Times New Roman"/>
        <family val="1"/>
        <charset val="204"/>
      </rPr>
      <t>(1)</t>
    </r>
  </si>
  <si>
    <r>
      <t>г. Чита, ул. Бекетова, д. 46</t>
    </r>
    <r>
      <rPr>
        <vertAlign val="superscript"/>
        <sz val="11"/>
        <rFont val="Times New Roman"/>
        <family val="1"/>
        <charset val="204"/>
      </rPr>
      <t>(4)</t>
    </r>
  </si>
  <si>
    <r>
      <t>г. Чита, ул. Белорусская, д. 11а</t>
    </r>
    <r>
      <rPr>
        <vertAlign val="superscript"/>
        <sz val="11"/>
        <rFont val="Times New Roman"/>
        <family val="1"/>
        <charset val="204"/>
      </rPr>
      <t>(1,4)</t>
    </r>
  </si>
  <si>
    <r>
      <t>г. Чита, ул. Богдана Хмельницкого, д. 24 корп. 3</t>
    </r>
    <r>
      <rPr>
        <vertAlign val="superscript"/>
        <sz val="11"/>
        <rFont val="Times New Roman"/>
        <family val="1"/>
        <charset val="204"/>
      </rPr>
      <t>(4)</t>
    </r>
  </si>
  <si>
    <r>
      <t>г. Чита, ул. Бутина, д. 101</t>
    </r>
    <r>
      <rPr>
        <vertAlign val="superscript"/>
        <sz val="11"/>
        <rFont val="Times New Roman"/>
        <family val="1"/>
        <charset val="204"/>
      </rPr>
      <t>(4)</t>
    </r>
  </si>
  <si>
    <r>
      <rPr>
        <sz val="11"/>
        <rFont val="Times New Roman"/>
        <family val="1"/>
        <charset val="204"/>
      </rPr>
      <t>г. Чита, ул. Бутина, д. 73</t>
    </r>
    <r>
      <rPr>
        <vertAlign val="superscript"/>
        <sz val="11"/>
        <rFont val="Times New Roman"/>
        <family val="1"/>
        <charset val="204"/>
      </rPr>
      <t>(1/1)</t>
    </r>
  </si>
  <si>
    <r>
      <rPr>
        <sz val="11"/>
        <rFont val="Times New Roman"/>
        <family val="1"/>
        <charset val="204"/>
      </rPr>
      <t>г. Чита, ул. Бутина, д. 82</t>
    </r>
    <r>
      <rPr>
        <vertAlign val="superscript"/>
        <sz val="11"/>
        <rFont val="Times New Roman"/>
        <family val="1"/>
        <charset val="204"/>
      </rPr>
      <t>(1)</t>
    </r>
  </si>
  <si>
    <r>
      <t>г. Чита, ул. Весенняя, д. 40</t>
    </r>
    <r>
      <rPr>
        <vertAlign val="superscript"/>
        <sz val="11"/>
        <rFont val="Times New Roman"/>
        <family val="1"/>
        <charset val="204"/>
      </rPr>
      <t>(2)</t>
    </r>
  </si>
  <si>
    <r>
      <rPr>
        <sz val="11"/>
        <rFont val="Times New Roman"/>
        <family val="1"/>
        <charset val="204"/>
      </rPr>
      <t>г. Чита, ул. Весенняя, д. 8</t>
    </r>
    <r>
      <rPr>
        <vertAlign val="superscript"/>
        <sz val="11"/>
        <rFont val="Times New Roman"/>
        <family val="1"/>
        <charset val="204"/>
      </rPr>
      <t>(2)</t>
    </r>
  </si>
  <si>
    <r>
      <t>г. Чита, ул. Гагарина, д. 17</t>
    </r>
    <r>
      <rPr>
        <vertAlign val="superscript"/>
        <sz val="11"/>
        <rFont val="Times New Roman"/>
        <family val="1"/>
        <charset val="204"/>
      </rPr>
      <t>(2)</t>
    </r>
  </si>
  <si>
    <r>
      <rPr>
        <sz val="11"/>
        <rFont val="Times New Roman"/>
        <family val="1"/>
        <charset val="204"/>
      </rPr>
      <t>г. Чита, ул. Гагарина, д. 5</t>
    </r>
    <r>
      <rPr>
        <vertAlign val="superscript"/>
        <sz val="11"/>
        <rFont val="Times New Roman"/>
        <family val="1"/>
        <charset val="204"/>
      </rPr>
      <t>(2)</t>
    </r>
  </si>
  <si>
    <r>
      <t>г. Чита, ул. Горького, д. 38</t>
    </r>
    <r>
      <rPr>
        <vertAlign val="superscript"/>
        <sz val="11"/>
        <rFont val="Times New Roman"/>
        <family val="1"/>
        <charset val="204"/>
      </rPr>
      <t>(6)</t>
    </r>
  </si>
  <si>
    <r>
      <t>г. Чита, ул. Дивизионная, д. 4</t>
    </r>
    <r>
      <rPr>
        <vertAlign val="superscript"/>
        <sz val="11"/>
        <rFont val="Times New Roman"/>
        <family val="1"/>
        <charset val="204"/>
      </rPr>
      <t>(2)</t>
    </r>
  </si>
  <si>
    <r>
      <rPr>
        <sz val="11"/>
        <rFont val="Times New Roman"/>
        <family val="1"/>
        <charset val="204"/>
      </rPr>
      <t>г. Чита, ул. Дивизионная, д. 8а</t>
    </r>
    <r>
      <rPr>
        <vertAlign val="superscript"/>
        <sz val="11"/>
        <rFont val="Times New Roman"/>
        <family val="1"/>
        <charset val="204"/>
      </rPr>
      <t>(1)</t>
    </r>
  </si>
  <si>
    <r>
      <rPr>
        <sz val="11"/>
        <rFont val="Times New Roman"/>
        <family val="1"/>
        <charset val="204"/>
      </rPr>
      <t>г. Чита, ул. Евгения Гаюсана, д. 28</t>
    </r>
    <r>
      <rPr>
        <vertAlign val="superscript"/>
        <sz val="11"/>
        <rFont val="Times New Roman"/>
        <family val="1"/>
        <charset val="204"/>
      </rPr>
      <t>(4)</t>
    </r>
  </si>
  <si>
    <r>
      <t>г. Чита, ул. Евгения Гаюсана, д. 30</t>
    </r>
    <r>
      <rPr>
        <vertAlign val="superscript"/>
        <sz val="11"/>
        <rFont val="Times New Roman"/>
        <family val="1"/>
        <charset val="204"/>
      </rPr>
      <t>(1)</t>
    </r>
  </si>
  <si>
    <r>
      <t>г. Чита, ул. Железобетонная, д 16</t>
    </r>
    <r>
      <rPr>
        <vertAlign val="superscript"/>
        <sz val="11"/>
        <rFont val="Times New Roman"/>
        <family val="1"/>
        <charset val="204"/>
      </rPr>
      <t>(4)</t>
    </r>
  </si>
  <si>
    <r>
      <t>г. Чита, ул. Журавлева, д. 112</t>
    </r>
    <r>
      <rPr>
        <vertAlign val="superscript"/>
        <sz val="11"/>
        <rFont val="Times New Roman"/>
        <family val="1"/>
        <charset val="204"/>
      </rPr>
      <t>(1)</t>
    </r>
  </si>
  <si>
    <r>
      <t>г. Чита, ул. Забайкальская, д. 10</t>
    </r>
    <r>
      <rPr>
        <vertAlign val="superscript"/>
        <sz val="11"/>
        <rFont val="Times New Roman"/>
        <family val="1"/>
        <charset val="204"/>
      </rPr>
      <t>(1)</t>
    </r>
  </si>
  <si>
    <r>
      <t>г. Чита, ул. Забайкальская, д. 5</t>
    </r>
    <r>
      <rPr>
        <vertAlign val="superscript"/>
        <sz val="11"/>
        <rFont val="Times New Roman"/>
        <family val="1"/>
        <charset val="204"/>
      </rPr>
      <t>(4)</t>
    </r>
  </si>
  <si>
    <r>
      <t>г. Чита, ул. Забайкальского Рабочего, д. 38</t>
    </r>
    <r>
      <rPr>
        <vertAlign val="superscript"/>
        <sz val="11"/>
        <rFont val="Times New Roman"/>
        <family val="1"/>
        <charset val="204"/>
      </rPr>
      <t>(7)</t>
    </r>
  </si>
  <si>
    <r>
      <t>г. Чита, ул. Забайкальского Рабочего, д. 4</t>
    </r>
    <r>
      <rPr>
        <vertAlign val="superscript"/>
        <sz val="11"/>
        <rFont val="Times New Roman"/>
        <family val="1"/>
        <charset val="204"/>
      </rPr>
      <t>(6)</t>
    </r>
  </si>
  <si>
    <r>
      <rPr>
        <sz val="11"/>
        <rFont val="Times New Roman"/>
        <family val="1"/>
        <charset val="204"/>
      </rPr>
      <t>г. Чита, ул. Кайдаловская, д. 10</t>
    </r>
    <r>
      <rPr>
        <vertAlign val="superscript"/>
        <sz val="11"/>
        <rFont val="Times New Roman"/>
        <family val="1"/>
        <charset val="204"/>
      </rPr>
      <t>(2)</t>
    </r>
  </si>
  <si>
    <r>
      <t>г. Чита, ул. Кайдаловская, д. 19</t>
    </r>
    <r>
      <rPr>
        <vertAlign val="superscript"/>
        <sz val="11"/>
        <rFont val="Times New Roman"/>
        <family val="1"/>
        <charset val="204"/>
      </rPr>
      <t>(1,6)</t>
    </r>
  </si>
  <si>
    <r>
      <t>г. Чита, ул. Калангуйская, д. 38 а</t>
    </r>
    <r>
      <rPr>
        <vertAlign val="superscript"/>
        <sz val="11"/>
        <rFont val="Times New Roman"/>
        <family val="1"/>
        <charset val="204"/>
      </rPr>
      <t>(6)</t>
    </r>
  </si>
  <si>
    <r>
      <t>г. Чита, ул. Каларская, д. 4</t>
    </r>
    <r>
      <rPr>
        <vertAlign val="superscript"/>
        <sz val="11"/>
        <rFont val="Times New Roman"/>
        <family val="1"/>
        <charset val="204"/>
      </rPr>
      <t>(4)</t>
    </r>
  </si>
  <si>
    <r>
      <t>г. Чита, ул. Карла Маркса, д. 14</t>
    </r>
    <r>
      <rPr>
        <vertAlign val="superscript"/>
        <sz val="11"/>
        <rFont val="Times New Roman"/>
        <family val="1"/>
        <charset val="204"/>
      </rPr>
      <t>(4)</t>
    </r>
  </si>
  <si>
    <r>
      <rPr>
        <sz val="11"/>
        <rFont val="Times New Roman"/>
        <family val="1"/>
        <charset val="204"/>
      </rPr>
      <t>г. Чита, ул. Кирова, д. 2а</t>
    </r>
    <r>
      <rPr>
        <vertAlign val="superscript"/>
        <sz val="11"/>
        <rFont val="Times New Roman"/>
        <family val="1"/>
        <charset val="204"/>
      </rPr>
      <t>(1)</t>
    </r>
  </si>
  <si>
    <r>
      <rPr>
        <sz val="11"/>
        <rFont val="Times New Roman"/>
        <family val="1"/>
        <charset val="204"/>
      </rPr>
      <t>г. Чита, ул. Ковыльная, д. 22</t>
    </r>
    <r>
      <rPr>
        <vertAlign val="superscript"/>
        <sz val="11"/>
        <rFont val="Times New Roman"/>
        <family val="1"/>
        <charset val="204"/>
      </rPr>
      <t>(1/1)</t>
    </r>
  </si>
  <si>
    <r>
      <rPr>
        <sz val="11"/>
        <rFont val="Times New Roman"/>
        <family val="1"/>
        <charset val="204"/>
      </rPr>
      <t>г. Чита, ул. Космонавтов, д. 12</t>
    </r>
    <r>
      <rPr>
        <vertAlign val="superscript"/>
        <sz val="11"/>
        <rFont val="Times New Roman"/>
        <family val="1"/>
        <charset val="204"/>
      </rPr>
      <t>(7)</t>
    </r>
  </si>
  <si>
    <r>
      <t>г. Чита, ул. Космонавтов, д. 6</t>
    </r>
    <r>
      <rPr>
        <vertAlign val="superscript"/>
        <sz val="11"/>
        <rFont val="Times New Roman"/>
        <family val="1"/>
        <charset val="204"/>
      </rPr>
      <t>(1)</t>
    </r>
  </si>
  <si>
    <r>
      <t>г. Чита, ул. Красноармейская, д. 68</t>
    </r>
    <r>
      <rPr>
        <vertAlign val="superscript"/>
        <sz val="11"/>
        <rFont val="Times New Roman"/>
        <family val="1"/>
        <charset val="204"/>
      </rPr>
      <t>(1)</t>
    </r>
  </si>
  <si>
    <r>
      <rPr>
        <sz val="11"/>
        <rFont val="Times New Roman"/>
        <family val="1"/>
        <charset val="204"/>
      </rPr>
      <t>г. Чита, ул. Красной Звезды, д. 12</t>
    </r>
    <r>
      <rPr>
        <vertAlign val="superscript"/>
        <sz val="11"/>
        <rFont val="Times New Roman"/>
        <family val="1"/>
        <charset val="204"/>
      </rPr>
      <t>(8)</t>
    </r>
  </si>
  <si>
    <r>
      <t>г. Чита, ул. Красноярская, д. 11</t>
    </r>
    <r>
      <rPr>
        <vertAlign val="superscript"/>
        <sz val="11"/>
        <rFont val="Times New Roman"/>
        <family val="1"/>
        <charset val="204"/>
      </rPr>
      <t>(1)</t>
    </r>
  </si>
  <si>
    <r>
      <t>г. Чита, ул. Красноярская, д. 24</t>
    </r>
    <r>
      <rPr>
        <vertAlign val="superscript"/>
        <sz val="11"/>
        <rFont val="Times New Roman"/>
        <family val="1"/>
        <charset val="204"/>
      </rPr>
      <t>(1,4)</t>
    </r>
  </si>
  <si>
    <r>
      <rPr>
        <sz val="11"/>
        <rFont val="Times New Roman"/>
        <family val="1"/>
        <charset val="204"/>
      </rPr>
      <t>г. Чита, ул. Красноярская, д. 32</t>
    </r>
    <r>
      <rPr>
        <vertAlign val="superscript"/>
        <sz val="11"/>
        <rFont val="Times New Roman"/>
        <family val="1"/>
        <charset val="204"/>
      </rPr>
      <t>(1,2)</t>
    </r>
  </si>
  <si>
    <r>
      <t>г. Чита, ул. Крымская, д. 21</t>
    </r>
    <r>
      <rPr>
        <vertAlign val="superscript"/>
        <sz val="11"/>
        <rFont val="Times New Roman"/>
        <family val="1"/>
        <charset val="204"/>
      </rPr>
      <t>(8)</t>
    </r>
  </si>
  <si>
    <r>
      <t>г. Чита, ул. Курнатовского, д. 76</t>
    </r>
    <r>
      <rPr>
        <vertAlign val="superscript"/>
        <sz val="11"/>
        <rFont val="Times New Roman"/>
        <family val="1"/>
        <charset val="204"/>
      </rPr>
      <t>(1)</t>
    </r>
  </si>
  <si>
    <r>
      <t>г. Чита, ул. Лазо, д. 36</t>
    </r>
    <r>
      <rPr>
        <vertAlign val="superscript"/>
        <sz val="11"/>
        <rFont val="Times New Roman"/>
        <family val="1"/>
        <charset val="204"/>
      </rPr>
      <t>(4)</t>
    </r>
  </si>
  <si>
    <r>
      <rPr>
        <sz val="11"/>
        <rFont val="Times New Roman"/>
        <family val="1"/>
        <charset val="204"/>
      </rPr>
      <t>г. Чита, ул. Ленина, д. 54</t>
    </r>
    <r>
      <rPr>
        <vertAlign val="superscript"/>
        <sz val="11"/>
        <rFont val="Times New Roman"/>
        <family val="1"/>
        <charset val="204"/>
      </rPr>
      <t>(2)</t>
    </r>
  </si>
  <si>
    <r>
      <rPr>
        <sz val="11"/>
        <rFont val="Times New Roman"/>
        <family val="1"/>
        <charset val="204"/>
      </rPr>
      <t>г. Чита, ул. Ленина, д. 56</t>
    </r>
    <r>
      <rPr>
        <vertAlign val="superscript"/>
        <sz val="11"/>
        <rFont val="Times New Roman"/>
        <family val="1"/>
        <charset val="204"/>
      </rPr>
      <t>(1,2)</t>
    </r>
  </si>
  <si>
    <r>
      <rPr>
        <sz val="11"/>
        <rFont val="Times New Roman"/>
        <family val="1"/>
        <charset val="204"/>
      </rPr>
      <t>г. Чита, ул. Ленина, д. 58</t>
    </r>
    <r>
      <rPr>
        <vertAlign val="superscript"/>
        <sz val="11"/>
        <rFont val="Times New Roman"/>
        <family val="1"/>
        <charset val="204"/>
      </rPr>
      <t>(1,2)</t>
    </r>
  </si>
  <si>
    <r>
      <rPr>
        <sz val="11"/>
        <rFont val="Times New Roman"/>
        <family val="1"/>
        <charset val="204"/>
      </rPr>
      <t>г. Чита, ул. Ленина, д. 97</t>
    </r>
    <r>
      <rPr>
        <vertAlign val="superscript"/>
        <sz val="11"/>
        <rFont val="Times New Roman"/>
        <family val="1"/>
        <charset val="204"/>
      </rPr>
      <t>(1,2)</t>
    </r>
  </si>
  <si>
    <r>
      <rPr>
        <sz val="11"/>
        <rFont val="Times New Roman"/>
        <family val="1"/>
        <charset val="204"/>
      </rPr>
      <t>г. Чита, ул. Ленинградская, д. 77б</t>
    </r>
    <r>
      <rPr>
        <vertAlign val="superscript"/>
        <sz val="11"/>
        <rFont val="Times New Roman"/>
        <family val="1"/>
        <charset val="204"/>
      </rPr>
      <t>(6)</t>
    </r>
  </si>
  <si>
    <r>
      <t>г. Чита, ул. Лермонтова, д. 9</t>
    </r>
    <r>
      <rPr>
        <vertAlign val="superscript"/>
        <sz val="11"/>
        <rFont val="Times New Roman"/>
        <family val="1"/>
        <charset val="204"/>
      </rPr>
      <t>(4)</t>
    </r>
  </si>
  <si>
    <r>
      <t>г. Чита, ул. Магистральная, д. 13</t>
    </r>
    <r>
      <rPr>
        <vertAlign val="superscript"/>
        <sz val="11"/>
        <rFont val="Times New Roman"/>
        <family val="1"/>
        <charset val="204"/>
      </rPr>
      <t>(1)</t>
    </r>
  </si>
  <si>
    <r>
      <rPr>
        <sz val="11"/>
        <rFont val="Times New Roman"/>
        <family val="1"/>
        <charset val="204"/>
      </rPr>
      <t>г. Чита, ул. Малая, д. 2б</t>
    </r>
    <r>
      <rPr>
        <vertAlign val="superscript"/>
        <sz val="11"/>
        <rFont val="Times New Roman"/>
        <family val="1"/>
        <charset val="204"/>
      </rPr>
      <t>(8)</t>
    </r>
  </si>
  <si>
    <r>
      <t>г. Чита, ул. Набережная, д. 46</t>
    </r>
    <r>
      <rPr>
        <vertAlign val="superscript"/>
        <sz val="11"/>
        <rFont val="Times New Roman"/>
        <family val="1"/>
        <charset val="204"/>
      </rPr>
      <t>(1)</t>
    </r>
  </si>
  <si>
    <r>
      <t>г. Чита, ул. Набережная, д. 64</t>
    </r>
    <r>
      <rPr>
        <vertAlign val="superscript"/>
        <sz val="11"/>
        <rFont val="Times New Roman"/>
        <family val="1"/>
        <charset val="204"/>
      </rPr>
      <t>(4)</t>
    </r>
  </si>
  <si>
    <r>
      <t>г. Чита, ул. Набережная, д. 66</t>
    </r>
    <r>
      <rPr>
        <vertAlign val="superscript"/>
        <sz val="11"/>
        <rFont val="Times New Roman"/>
        <family val="1"/>
        <charset val="204"/>
      </rPr>
      <t>(1)</t>
    </r>
  </si>
  <si>
    <r>
      <rPr>
        <sz val="11"/>
        <rFont val="Times New Roman"/>
        <family val="1"/>
        <charset val="204"/>
      </rPr>
      <t>г. Чита, ул. Нагорная, д. 26</t>
    </r>
    <r>
      <rPr>
        <vertAlign val="superscript"/>
        <sz val="11"/>
        <rFont val="Times New Roman"/>
        <family val="1"/>
        <charset val="204"/>
      </rPr>
      <t>(7)</t>
    </r>
  </si>
  <si>
    <r>
      <t>г. Чита, ул. Назара Губина, д. 33</t>
    </r>
    <r>
      <rPr>
        <vertAlign val="superscript"/>
        <sz val="11"/>
        <rFont val="Times New Roman"/>
        <family val="1"/>
        <charset val="204"/>
      </rPr>
      <t>(4)</t>
    </r>
  </si>
  <si>
    <r>
      <t>г. Чита, ул. Недорезова, д. 28</t>
    </r>
    <r>
      <rPr>
        <vertAlign val="superscript"/>
        <sz val="11"/>
        <rFont val="Times New Roman"/>
        <family val="1"/>
        <charset val="204"/>
      </rPr>
      <t>(1)</t>
    </r>
  </si>
  <si>
    <r>
      <t>г. Чита, ул. Николая Островского, д. 28</t>
    </r>
    <r>
      <rPr>
        <vertAlign val="superscript"/>
        <sz val="11"/>
        <rFont val="Times New Roman"/>
        <family val="1"/>
        <charset val="204"/>
      </rPr>
      <t>(1)</t>
    </r>
  </si>
  <si>
    <r>
      <rPr>
        <sz val="11"/>
        <rFont val="Times New Roman"/>
        <family val="1"/>
        <charset val="204"/>
      </rPr>
      <t>г. Чита, ул. Новобульварная, д. 129</t>
    </r>
    <r>
      <rPr>
        <vertAlign val="superscript"/>
        <sz val="11"/>
        <rFont val="Times New Roman"/>
        <family val="1"/>
        <charset val="204"/>
      </rPr>
      <t>(2)</t>
    </r>
  </si>
  <si>
    <r>
      <t>г. Чита, ул. Онискевича, д. 14</t>
    </r>
    <r>
      <rPr>
        <vertAlign val="superscript"/>
        <sz val="11"/>
        <rFont val="Times New Roman"/>
        <family val="1"/>
        <charset val="204"/>
      </rPr>
      <t>(1)</t>
    </r>
  </si>
  <si>
    <r>
      <t>г. Чита, ул. Офицерская, д. 22</t>
    </r>
    <r>
      <rPr>
        <vertAlign val="superscript"/>
        <sz val="11"/>
        <rFont val="Times New Roman"/>
        <family val="1"/>
        <charset val="204"/>
      </rPr>
      <t>(1)</t>
    </r>
  </si>
  <si>
    <r>
      <t>г. Чита, ул. Петровско-Заводская, д. 31</t>
    </r>
    <r>
      <rPr>
        <vertAlign val="superscript"/>
        <sz val="11"/>
        <rFont val="Times New Roman"/>
        <family val="1"/>
        <charset val="204"/>
      </rPr>
      <t>(1)</t>
    </r>
  </si>
  <si>
    <r>
      <t>г. Чита, ул. Печорская, д. 1</t>
    </r>
    <r>
      <rPr>
        <vertAlign val="superscript"/>
        <sz val="11"/>
        <rFont val="Times New Roman"/>
        <family val="1"/>
        <charset val="204"/>
      </rPr>
      <t>(6)</t>
    </r>
  </si>
  <si>
    <r>
      <t>г. Чита, ул. Подгорбунского, д. 1</t>
    </r>
    <r>
      <rPr>
        <vertAlign val="superscript"/>
        <sz val="11"/>
        <rFont val="Times New Roman"/>
        <family val="1"/>
        <charset val="204"/>
      </rPr>
      <t>(1)</t>
    </r>
  </si>
  <si>
    <r>
      <rPr>
        <sz val="11"/>
        <rFont val="Times New Roman"/>
        <family val="1"/>
        <charset val="204"/>
      </rPr>
      <t>г. Чита, ул. Подгорбунского, д. 84</t>
    </r>
    <r>
      <rPr>
        <vertAlign val="superscript"/>
        <sz val="11"/>
        <rFont val="Times New Roman"/>
        <family val="1"/>
        <charset val="204"/>
      </rPr>
      <t>(1/1)</t>
    </r>
  </si>
  <si>
    <r>
      <t>г. Чита, ул. Подгорбунского, д. 9</t>
    </r>
    <r>
      <rPr>
        <vertAlign val="superscript"/>
        <sz val="11"/>
        <rFont val="Times New Roman"/>
        <family val="1"/>
        <charset val="204"/>
      </rPr>
      <t>(7)</t>
    </r>
  </si>
  <si>
    <r>
      <rPr>
        <sz val="11"/>
        <rFont val="Times New Roman"/>
        <family val="1"/>
        <charset val="204"/>
      </rPr>
      <t>г. Чита, ул. Полины Осипенко, д. 38</t>
    </r>
    <r>
      <rPr>
        <vertAlign val="superscript"/>
        <sz val="11"/>
        <rFont val="Times New Roman"/>
        <family val="1"/>
        <charset val="204"/>
      </rPr>
      <t>(2)</t>
    </r>
  </si>
  <si>
    <t>дом на спецсчете , ремонт выполнен</t>
  </si>
  <si>
    <r>
      <rPr>
        <sz val="11"/>
        <rFont val="Times New Roman"/>
        <family val="1"/>
        <charset val="204"/>
      </rPr>
      <t>г. Чита, ул. Пригородная, д. 1б</t>
    </r>
    <r>
      <rPr>
        <vertAlign val="superscript"/>
        <sz val="11"/>
        <rFont val="Times New Roman"/>
        <family val="1"/>
        <charset val="204"/>
      </rPr>
      <t>(4)</t>
    </r>
  </si>
  <si>
    <r>
      <rPr>
        <sz val="11"/>
        <rFont val="Times New Roman"/>
        <family val="1"/>
        <charset val="204"/>
      </rPr>
      <t>г. Чита, ул. Селенгинская, д. 13</t>
    </r>
    <r>
      <rPr>
        <vertAlign val="superscript"/>
        <sz val="11"/>
        <rFont val="Times New Roman"/>
        <family val="1"/>
        <charset val="204"/>
      </rPr>
      <t>(2)</t>
    </r>
  </si>
  <si>
    <r>
      <t>г. Чита, ул. Селенгинская, д. 17</t>
    </r>
    <r>
      <rPr>
        <vertAlign val="superscript"/>
        <sz val="11"/>
        <rFont val="Times New Roman"/>
        <family val="1"/>
        <charset val="204"/>
      </rPr>
      <t>(1)</t>
    </r>
  </si>
  <si>
    <r>
      <t>г. Чита, ул. Серова, д. 1</t>
    </r>
    <r>
      <rPr>
        <vertAlign val="superscript"/>
        <sz val="11"/>
        <rFont val="Times New Roman"/>
        <family val="1"/>
        <charset val="204"/>
      </rPr>
      <t>(4)</t>
    </r>
  </si>
  <si>
    <r>
      <t>г. Чита, ул. Силикатная, д. 11</t>
    </r>
    <r>
      <rPr>
        <vertAlign val="superscript"/>
        <sz val="11"/>
        <rFont val="Times New Roman"/>
        <family val="1"/>
        <charset val="204"/>
      </rPr>
      <t>(4)</t>
    </r>
  </si>
  <si>
    <r>
      <rPr>
        <sz val="11"/>
        <rFont val="Times New Roman"/>
        <family val="1"/>
        <charset val="204"/>
      </rPr>
      <t>г. Чита, ул. Советская, д. 25</t>
    </r>
    <r>
      <rPr>
        <vertAlign val="superscript"/>
        <sz val="11"/>
        <rFont val="Times New Roman"/>
        <family val="1"/>
        <charset val="204"/>
      </rPr>
      <t>(1/1,8)</t>
    </r>
  </si>
  <si>
    <r>
      <t>г. Чита, ул. Столярова, д. 19</t>
    </r>
    <r>
      <rPr>
        <vertAlign val="superscript"/>
        <sz val="11"/>
        <rFont val="Times New Roman"/>
        <family val="1"/>
        <charset val="204"/>
      </rPr>
      <t>(4)</t>
    </r>
  </si>
  <si>
    <r>
      <t>г. Чита, ул. Столярова, д. 42</t>
    </r>
    <r>
      <rPr>
        <vertAlign val="superscript"/>
        <sz val="11"/>
        <rFont val="Times New Roman"/>
        <family val="1"/>
        <charset val="204"/>
      </rPr>
      <t>(6)</t>
    </r>
  </si>
  <si>
    <r>
      <rPr>
        <sz val="11"/>
        <rFont val="Times New Roman"/>
        <family val="1"/>
        <charset val="204"/>
      </rPr>
      <t>г. Чита, ул. Строителей, д. 92</t>
    </r>
    <r>
      <rPr>
        <vertAlign val="superscript"/>
        <sz val="11"/>
        <rFont val="Times New Roman"/>
        <family val="1"/>
        <charset val="204"/>
      </rPr>
      <t>(1)</t>
    </r>
  </si>
  <si>
    <r>
      <t>г. Чита, ул. Таежная, д. 20</t>
    </r>
    <r>
      <rPr>
        <vertAlign val="superscript"/>
        <sz val="11"/>
        <rFont val="Times New Roman"/>
        <family val="1"/>
        <charset val="204"/>
      </rPr>
      <t>(1)</t>
    </r>
  </si>
  <si>
    <r>
      <t>г. Чита, ул. Текстильщиков, д. 12</t>
    </r>
    <r>
      <rPr>
        <vertAlign val="superscript"/>
        <sz val="11"/>
        <rFont val="Times New Roman"/>
        <family val="1"/>
        <charset val="204"/>
      </rPr>
      <t>(7)</t>
    </r>
  </si>
  <si>
    <r>
      <t>г. Чита, ул. Токмакова, д. 18</t>
    </r>
    <r>
      <rPr>
        <vertAlign val="superscript"/>
        <sz val="11"/>
        <rFont val="Times New Roman"/>
        <family val="1"/>
        <charset val="204"/>
      </rPr>
      <t>(1,6)</t>
    </r>
  </si>
  <si>
    <r>
      <t>г. Чита, ул. Токмакова, д. 20</t>
    </r>
    <r>
      <rPr>
        <vertAlign val="superscript"/>
        <sz val="11"/>
        <rFont val="Times New Roman"/>
        <family val="1"/>
        <charset val="204"/>
      </rPr>
      <t>(1)</t>
    </r>
  </si>
  <si>
    <r>
      <rPr>
        <sz val="11"/>
        <rFont val="Times New Roman"/>
        <family val="1"/>
        <charset val="204"/>
      </rPr>
      <t>г. Чита, ул. Токмакова, д. 23а</t>
    </r>
    <r>
      <rPr>
        <vertAlign val="superscript"/>
        <sz val="11"/>
        <rFont val="Times New Roman"/>
        <family val="1"/>
        <charset val="204"/>
      </rPr>
      <t>(6,8)</t>
    </r>
  </si>
  <si>
    <r>
      <rPr>
        <sz val="11"/>
        <rFont val="Times New Roman"/>
        <family val="1"/>
        <charset val="204"/>
      </rPr>
      <t>г. Чита, ул. Токмакова, д. 27а</t>
    </r>
    <r>
      <rPr>
        <vertAlign val="superscript"/>
        <sz val="11"/>
        <rFont val="Times New Roman"/>
        <family val="1"/>
        <charset val="204"/>
      </rPr>
      <t>(4)</t>
    </r>
  </si>
  <si>
    <r>
      <t>г. Чита, ул. Токмакова, д. 31</t>
    </r>
    <r>
      <rPr>
        <vertAlign val="superscript"/>
        <sz val="11"/>
        <rFont val="Times New Roman"/>
        <family val="1"/>
        <charset val="204"/>
      </rPr>
      <t>(1)</t>
    </r>
  </si>
  <si>
    <r>
      <t>г. Чита, ул. Угданская, д. 10</t>
    </r>
    <r>
      <rPr>
        <vertAlign val="superscript"/>
        <sz val="11"/>
        <rFont val="Times New Roman"/>
        <family val="1"/>
        <charset val="204"/>
      </rPr>
      <t>(1)</t>
    </r>
  </si>
  <si>
    <r>
      <t>г. Чита, ул. Центральная, д. 16</t>
    </r>
    <r>
      <rPr>
        <vertAlign val="superscript"/>
        <sz val="11"/>
        <rFont val="Times New Roman"/>
        <family val="1"/>
        <charset val="204"/>
      </rPr>
      <t>(8)</t>
    </r>
  </si>
  <si>
    <r>
      <rPr>
        <sz val="11"/>
        <rFont val="Times New Roman"/>
        <family val="1"/>
        <charset val="204"/>
      </rPr>
      <t>г. Чита, ул. Чкалова, д. 6</t>
    </r>
    <r>
      <rPr>
        <vertAlign val="superscript"/>
        <sz val="11"/>
        <rFont val="Times New Roman"/>
        <family val="1"/>
        <charset val="204"/>
      </rPr>
      <t>(2,4)</t>
    </r>
  </si>
  <si>
    <r>
      <t>г. Чита, ул. Шилова, д. 85</t>
    </r>
    <r>
      <rPr>
        <vertAlign val="superscript"/>
        <sz val="11"/>
        <rFont val="Times New Roman"/>
        <family val="1"/>
        <charset val="204"/>
      </rPr>
      <t>(4)</t>
    </r>
  </si>
  <si>
    <r>
      <rPr>
        <sz val="11"/>
        <rFont val="Times New Roman"/>
        <family val="1"/>
        <charset val="204"/>
      </rPr>
      <t>г. Чита, ул. Юности, д. 25</t>
    </r>
    <r>
      <rPr>
        <vertAlign val="superscript"/>
        <sz val="11"/>
        <rFont val="Times New Roman"/>
        <family val="1"/>
        <charset val="204"/>
      </rPr>
      <t>(2,4)</t>
    </r>
  </si>
  <si>
    <r>
      <rPr>
        <sz val="11"/>
        <rFont val="Times New Roman"/>
        <family val="1"/>
        <charset val="204"/>
      </rPr>
      <t>г. Чита, ул. Юности, д. 8</t>
    </r>
    <r>
      <rPr>
        <vertAlign val="superscript"/>
        <sz val="11"/>
        <rFont val="Times New Roman"/>
        <family val="1"/>
        <charset val="204"/>
      </rPr>
      <t>(2,4)</t>
    </r>
  </si>
  <si>
    <r>
      <t>пгт. Агинское, ул. Ленина, д. 42</t>
    </r>
    <r>
      <rPr>
        <vertAlign val="superscript"/>
        <sz val="11"/>
        <rFont val="Times New Roman"/>
        <family val="1"/>
        <charset val="204"/>
      </rPr>
      <t>(4)</t>
    </r>
  </si>
  <si>
    <r>
      <rPr>
        <sz val="11"/>
        <rFont val="Times New Roman"/>
        <family val="1"/>
        <charset val="204"/>
      </rPr>
      <t xml:space="preserve">пгт. Новоорловск, д. 21 </t>
    </r>
    <r>
      <rPr>
        <vertAlign val="superscript"/>
        <sz val="11"/>
        <rFont val="Times New Roman"/>
        <family val="1"/>
        <charset val="204"/>
      </rPr>
      <t>(2,6)</t>
    </r>
  </si>
  <si>
    <r>
      <rPr>
        <sz val="11"/>
        <rFont val="Times New Roman"/>
        <family val="1"/>
        <charset val="204"/>
      </rPr>
      <t xml:space="preserve">пгт. Новоорловск, д. 22 </t>
    </r>
    <r>
      <rPr>
        <vertAlign val="superscript"/>
        <sz val="11"/>
        <rFont val="Times New Roman"/>
        <family val="1"/>
        <charset val="204"/>
      </rPr>
      <t>(2,8)</t>
    </r>
  </si>
  <si>
    <r>
      <t>г. Балей, ул. Ленина, д. 23</t>
    </r>
    <r>
      <rPr>
        <vertAlign val="superscript"/>
        <sz val="11"/>
        <rFont val="Times New Roman"/>
        <family val="1"/>
        <charset val="204"/>
      </rPr>
      <t>(1)</t>
    </r>
  </si>
  <si>
    <r>
      <rPr>
        <sz val="11"/>
        <rFont val="Times New Roman"/>
        <family val="1"/>
        <charset val="204"/>
      </rPr>
      <t>г. Балей, ул. Ленина, д. 27</t>
    </r>
    <r>
      <rPr>
        <vertAlign val="superscript"/>
        <sz val="11"/>
        <rFont val="Times New Roman"/>
        <family val="1"/>
        <charset val="204"/>
      </rPr>
      <t>(1)</t>
    </r>
  </si>
  <si>
    <r>
      <t>г. Балей, ул. Ленина, д. 4</t>
    </r>
    <r>
      <rPr>
        <vertAlign val="superscript"/>
        <sz val="11"/>
        <rFont val="Times New Roman"/>
        <family val="1"/>
        <charset val="204"/>
      </rPr>
      <t>(4)</t>
    </r>
  </si>
  <si>
    <r>
      <t>г. Балей, ул. Октябрьская, д. 113</t>
    </r>
    <r>
      <rPr>
        <vertAlign val="superscript"/>
        <sz val="11"/>
        <rFont val="Times New Roman"/>
        <family val="1"/>
        <charset val="204"/>
      </rPr>
      <t>(1)</t>
    </r>
  </si>
  <si>
    <r>
      <rPr>
        <sz val="11"/>
        <rFont val="Times New Roman"/>
        <family val="1"/>
        <charset val="204"/>
      </rPr>
      <t>г. Балей, ул. Октябрьская, д. 98</t>
    </r>
    <r>
      <rPr>
        <vertAlign val="superscript"/>
        <sz val="11"/>
        <rFont val="Times New Roman"/>
        <family val="1"/>
        <charset val="204"/>
      </rPr>
      <t>(4)</t>
    </r>
  </si>
  <si>
    <r>
      <t>г. Борзя, ул. Гурьева 79 квартал, д. 14</t>
    </r>
    <r>
      <rPr>
        <vertAlign val="superscript"/>
        <sz val="11"/>
        <rFont val="Times New Roman"/>
        <family val="1"/>
        <charset val="204"/>
      </rPr>
      <t>(4)</t>
    </r>
  </si>
  <si>
    <r>
      <rPr>
        <sz val="11"/>
        <rFont val="Times New Roman"/>
        <family val="1"/>
        <charset val="204"/>
      </rPr>
      <t>г. Борзя, ул. Карла Маркса, д. 96</t>
    </r>
    <r>
      <rPr>
        <vertAlign val="superscript"/>
        <sz val="11"/>
        <rFont val="Times New Roman"/>
        <family val="1"/>
        <charset val="204"/>
      </rPr>
      <t>(8 со стояками)</t>
    </r>
  </si>
  <si>
    <r>
      <t>г. Борзя, ул. Лазо, д. 63</t>
    </r>
    <r>
      <rPr>
        <vertAlign val="superscript"/>
        <sz val="11"/>
        <rFont val="Times New Roman"/>
        <family val="1"/>
        <charset val="204"/>
      </rPr>
      <t>(1)</t>
    </r>
  </si>
  <si>
    <r>
      <t>г. Борзя, ул. Ленина, д. 2</t>
    </r>
    <r>
      <rPr>
        <vertAlign val="superscript"/>
        <sz val="11"/>
        <rFont val="Times New Roman"/>
        <family val="1"/>
        <charset val="204"/>
      </rPr>
      <t>(4)</t>
    </r>
  </si>
  <si>
    <t xml:space="preserve">г. Борзя, ул. Матросова, д. 24а </t>
  </si>
  <si>
    <r>
      <t>г. Борзя, ул. Савватеевская, д. 15</t>
    </r>
    <r>
      <rPr>
        <vertAlign val="superscript"/>
        <sz val="11"/>
        <rFont val="Times New Roman"/>
        <family val="1"/>
        <charset val="204"/>
      </rPr>
      <t>(4)</t>
    </r>
  </si>
  <si>
    <r>
      <rPr>
        <sz val="11"/>
        <rFont val="Times New Roman"/>
        <family val="1"/>
        <charset val="204"/>
      </rPr>
      <t>пгт. Шерловая Гора, мкр. 2-й, д. 11</t>
    </r>
    <r>
      <rPr>
        <vertAlign val="superscript"/>
        <sz val="11"/>
        <rFont val="Times New Roman"/>
        <family val="1"/>
        <charset val="204"/>
      </rPr>
      <t>(1,4)</t>
    </r>
  </si>
  <si>
    <r>
      <rPr>
        <sz val="11"/>
        <rFont val="Times New Roman"/>
        <family val="1"/>
        <charset val="204"/>
      </rPr>
      <t>пгт. Шерловая Гора, ул. Шахтерская, д. 3</t>
    </r>
    <r>
      <rPr>
        <vertAlign val="superscript"/>
        <sz val="11"/>
        <rFont val="Times New Roman"/>
        <family val="1"/>
        <charset val="204"/>
      </rPr>
      <t>(6)</t>
    </r>
  </si>
  <si>
    <r>
      <rPr>
        <sz val="11"/>
        <rFont val="Times New Roman"/>
        <family val="1"/>
        <charset val="204"/>
      </rPr>
      <t>нп. Рудник Солонечный, ул. Мира, д. 34</t>
    </r>
    <r>
      <rPr>
        <vertAlign val="superscript"/>
        <sz val="11"/>
        <rFont val="Times New Roman"/>
        <family val="1"/>
        <charset val="204"/>
      </rPr>
      <t>(4)</t>
    </r>
  </si>
  <si>
    <r>
      <t>пгт. Забайкальск, ул. Комсомольская, д. 1</t>
    </r>
    <r>
      <rPr>
        <vertAlign val="superscript"/>
        <sz val="11"/>
        <rFont val="Times New Roman"/>
        <family val="1"/>
        <charset val="204"/>
      </rPr>
      <t>(6)</t>
    </r>
  </si>
  <si>
    <r>
      <rPr>
        <sz val="11"/>
        <rFont val="Times New Roman"/>
        <family val="1"/>
        <charset val="204"/>
      </rPr>
      <t>пгт. Забайкальск, ул. Комсомольская, д. 21</t>
    </r>
    <r>
      <rPr>
        <vertAlign val="superscript"/>
        <sz val="11"/>
        <rFont val="Times New Roman"/>
        <family val="1"/>
        <charset val="204"/>
      </rPr>
      <t>(4)</t>
    </r>
  </si>
  <si>
    <r>
      <t>пгт. Забайкальск, ул. Комсомольская, д. 36</t>
    </r>
    <r>
      <rPr>
        <vertAlign val="superscript"/>
        <sz val="11"/>
        <rFont val="Times New Roman"/>
        <family val="1"/>
        <charset val="204"/>
      </rPr>
      <t>(4)</t>
    </r>
  </si>
  <si>
    <r>
      <rPr>
        <sz val="11"/>
        <rFont val="Times New Roman"/>
        <family val="1"/>
        <charset val="204"/>
      </rPr>
      <t>пгт. Забайкальск, ул. Нагорная, д. 7</t>
    </r>
    <r>
      <rPr>
        <vertAlign val="superscript"/>
        <sz val="11"/>
        <rFont val="Times New Roman"/>
        <family val="1"/>
        <charset val="204"/>
      </rPr>
      <t>(4,9)</t>
    </r>
  </si>
  <si>
    <r>
      <rPr>
        <sz val="11"/>
        <rFont val="Times New Roman"/>
        <family val="1"/>
        <charset val="204"/>
      </rPr>
      <t>пгт. Забайкальск, ул. Пограничная, д. 24а</t>
    </r>
    <r>
      <rPr>
        <vertAlign val="superscript"/>
        <sz val="11"/>
        <rFont val="Times New Roman"/>
        <family val="1"/>
        <charset val="204"/>
      </rPr>
      <t>(4)</t>
    </r>
  </si>
  <si>
    <r>
      <t>пгт. Новая Чара, ул. Магистральная, д. 28</t>
    </r>
    <r>
      <rPr>
        <vertAlign val="superscript"/>
        <sz val="11"/>
        <rFont val="Times New Roman"/>
        <family val="1"/>
        <charset val="204"/>
      </rPr>
      <t>(2)</t>
    </r>
  </si>
  <si>
    <r>
      <t>п/ст Куанда, ул. Энтузиастов, д. 10</t>
    </r>
    <r>
      <rPr>
        <vertAlign val="superscript"/>
        <sz val="11"/>
        <rFont val="Times New Roman"/>
        <family val="1"/>
        <charset val="204"/>
      </rPr>
      <t>(6)</t>
    </r>
  </si>
  <si>
    <r>
      <t>пгт. Дарасун, ул. Калинина, д. 12</t>
    </r>
    <r>
      <rPr>
        <vertAlign val="superscript"/>
        <sz val="11"/>
        <rFont val="Times New Roman"/>
        <family val="1"/>
        <charset val="204"/>
      </rPr>
      <t>(2)</t>
    </r>
  </si>
  <si>
    <t xml:space="preserve"> пгт. Дарасун, ул. Калинина, д. 14</t>
  </si>
  <si>
    <r>
      <rPr>
        <sz val="11"/>
        <rFont val="Times New Roman"/>
        <family val="1"/>
        <charset val="204"/>
      </rPr>
      <t>пгт. Дарасун, ул. Калинина, д. 8</t>
    </r>
    <r>
      <rPr>
        <vertAlign val="superscript"/>
        <sz val="11"/>
        <rFont val="Times New Roman"/>
        <family val="1"/>
        <charset val="204"/>
      </rPr>
      <t>(2)</t>
    </r>
  </si>
  <si>
    <t>пгт. Дарасун, ул. Сосновая, д. 1</t>
  </si>
  <si>
    <r>
      <t>пгт. Дарасун, ул. Сосняк, д. 1</t>
    </r>
    <r>
      <rPr>
        <vertAlign val="superscript"/>
        <sz val="11"/>
        <rFont val="Times New Roman"/>
        <family val="1"/>
        <charset val="204"/>
      </rPr>
      <t>(8)</t>
    </r>
  </si>
  <si>
    <r>
      <t>пгт. Карымское, пер. Дивизионный, д. 2</t>
    </r>
    <r>
      <rPr>
        <vertAlign val="superscript"/>
        <sz val="11"/>
        <rFont val="Times New Roman"/>
        <family val="1"/>
        <charset val="204"/>
      </rPr>
      <t>(8)</t>
    </r>
  </si>
  <si>
    <t>пгт. Карымское, ул. Братьев Васильевых, 17</t>
  </si>
  <si>
    <r>
      <t>пгт. Карымское, ул. Братьев Васильевых, д. 21</t>
    </r>
    <r>
      <rPr>
        <vertAlign val="superscript"/>
        <sz val="11"/>
        <rFont val="Times New Roman"/>
        <family val="1"/>
        <charset val="204"/>
      </rPr>
      <t>(4)</t>
    </r>
  </si>
  <si>
    <r>
      <rPr>
        <sz val="11"/>
        <rFont val="Times New Roman"/>
        <family val="1"/>
        <charset val="204"/>
      </rPr>
      <t>пгт. Карымское, ул. Ленинградская, д. 14</t>
    </r>
    <r>
      <rPr>
        <vertAlign val="superscript"/>
        <sz val="11"/>
        <rFont val="Times New Roman"/>
        <family val="1"/>
        <charset val="204"/>
      </rPr>
      <t>(4)</t>
    </r>
  </si>
  <si>
    <r>
      <t>пгт. Карымское, ул. Ленинградская, д. 15</t>
    </r>
    <r>
      <rPr>
        <vertAlign val="superscript"/>
        <sz val="11"/>
        <rFont val="Times New Roman"/>
        <family val="1"/>
        <charset val="204"/>
      </rPr>
      <t>(4)</t>
    </r>
  </si>
  <si>
    <r>
      <t>пгт. Карымское, ул. Ленинградская, д. 16</t>
    </r>
    <r>
      <rPr>
        <vertAlign val="superscript"/>
        <sz val="11"/>
        <rFont val="Times New Roman"/>
        <family val="1"/>
        <charset val="204"/>
      </rPr>
      <t>(4)</t>
    </r>
  </si>
  <si>
    <r>
      <rPr>
        <sz val="11"/>
        <rFont val="Times New Roman"/>
        <family val="1"/>
        <charset val="204"/>
      </rPr>
      <t>пгт. Карымское, ул. Ленинградская, д. 24</t>
    </r>
    <r>
      <rPr>
        <vertAlign val="superscript"/>
        <sz val="11"/>
        <rFont val="Times New Roman"/>
        <family val="1"/>
        <charset val="204"/>
      </rPr>
      <t>(1)</t>
    </r>
  </si>
  <si>
    <r>
      <t>пгт. Карымское, ул. Ленинградская, д. 32</t>
    </r>
    <r>
      <rPr>
        <vertAlign val="superscript"/>
        <sz val="11"/>
        <rFont val="Times New Roman"/>
        <family val="1"/>
        <charset val="204"/>
      </rPr>
      <t>(1)</t>
    </r>
  </si>
  <si>
    <r>
      <t>пгт. Карымское, ул. Ленинградская, д. 52</t>
    </r>
    <r>
      <rPr>
        <vertAlign val="superscript"/>
        <sz val="11"/>
        <rFont val="Times New Roman"/>
        <family val="1"/>
        <charset val="204"/>
      </rPr>
      <t>(1,4)</t>
    </r>
  </si>
  <si>
    <t>г. Краснокаменск, мкр. 4-й, д. 404</t>
  </si>
  <si>
    <r>
      <rPr>
        <sz val="11"/>
        <rFont val="Times New Roman"/>
        <family val="1"/>
        <charset val="204"/>
      </rPr>
      <t>с. Бильчиртуй, ул. ДОС, д. 175</t>
    </r>
    <r>
      <rPr>
        <vertAlign val="superscript"/>
        <sz val="11"/>
        <rFont val="Times New Roman"/>
        <family val="1"/>
        <charset val="204"/>
      </rPr>
      <t>(1/1)</t>
    </r>
  </si>
  <si>
    <r>
      <rPr>
        <sz val="11"/>
        <rFont val="Times New Roman"/>
        <family val="1"/>
        <charset val="204"/>
      </rPr>
      <t>с. Бильчиртуй, ул. ДОС, д. 198</t>
    </r>
    <r>
      <rPr>
        <vertAlign val="superscript"/>
        <sz val="11"/>
        <rFont val="Times New Roman"/>
        <family val="1"/>
        <charset val="204"/>
      </rPr>
      <t>(1/1, 6)</t>
    </r>
  </si>
  <si>
    <r>
      <rPr>
        <sz val="11"/>
        <rFont val="Times New Roman"/>
        <family val="1"/>
        <charset val="204"/>
      </rPr>
      <t>с. Бильчиртуй, ул. ДОС, д. 217</t>
    </r>
    <r>
      <rPr>
        <vertAlign val="superscript"/>
        <sz val="11"/>
        <rFont val="Times New Roman"/>
        <family val="1"/>
        <charset val="204"/>
      </rPr>
      <t>(1/1, 6)</t>
    </r>
  </si>
  <si>
    <r>
      <rPr>
        <sz val="11"/>
        <rFont val="Times New Roman"/>
        <family val="1"/>
        <charset val="204"/>
      </rPr>
      <t>с. Цугол, ул. Школьная, д. 311</t>
    </r>
    <r>
      <rPr>
        <vertAlign val="superscript"/>
        <sz val="11"/>
        <rFont val="Times New Roman"/>
        <family val="1"/>
        <charset val="204"/>
      </rPr>
      <t>(1/1,6)</t>
    </r>
  </si>
  <si>
    <r>
      <rPr>
        <sz val="11"/>
        <rFont val="Times New Roman"/>
        <family val="1"/>
        <charset val="204"/>
      </rPr>
      <t>с. Цугол, ул. Школьная, д. 312</t>
    </r>
    <r>
      <rPr>
        <vertAlign val="superscript"/>
        <sz val="11"/>
        <rFont val="Times New Roman"/>
        <family val="1"/>
        <charset val="204"/>
      </rPr>
      <t>(1/1,6)</t>
    </r>
  </si>
  <si>
    <r>
      <t>г. Могоча, ул. Аникинская, д. 3</t>
    </r>
    <r>
      <rPr>
        <vertAlign val="superscript"/>
        <sz val="11"/>
        <rFont val="Times New Roman"/>
        <family val="1"/>
        <charset val="204"/>
      </rPr>
      <t>(1)</t>
    </r>
  </si>
  <si>
    <r>
      <t>г. Могоча, ул. Аникинская, д. 9</t>
    </r>
    <r>
      <rPr>
        <vertAlign val="superscript"/>
        <sz val="11"/>
        <rFont val="Times New Roman"/>
        <family val="1"/>
        <charset val="204"/>
      </rPr>
      <t>(2/2)</t>
    </r>
  </si>
  <si>
    <r>
      <rPr>
        <sz val="11"/>
        <rFont val="Times New Roman"/>
        <family val="1"/>
        <charset val="204"/>
      </rPr>
      <t>г. Могоча, ул. Березовая, д. 16</t>
    </r>
    <r>
      <rPr>
        <vertAlign val="superscript"/>
        <sz val="11"/>
        <rFont val="Times New Roman"/>
        <family val="1"/>
        <charset val="204"/>
      </rPr>
      <t>(2)</t>
    </r>
  </si>
  <si>
    <r>
      <t>г. Могоча, ул. Высотная, д. 18</t>
    </r>
    <r>
      <rPr>
        <vertAlign val="superscript"/>
        <sz val="11"/>
        <rFont val="Times New Roman"/>
        <family val="1"/>
        <charset val="204"/>
      </rPr>
      <t>(2/2)</t>
    </r>
  </si>
  <si>
    <r>
      <rPr>
        <sz val="11"/>
        <rFont val="Times New Roman"/>
        <family val="1"/>
        <charset val="204"/>
      </rPr>
      <t>г. Могоча, ул. Интернациональная, д. 28а</t>
    </r>
    <r>
      <rPr>
        <vertAlign val="superscript"/>
        <sz val="11"/>
        <rFont val="Times New Roman"/>
        <family val="1"/>
        <charset val="204"/>
      </rPr>
      <t>(1,2/2,4)</t>
    </r>
  </si>
  <si>
    <r>
      <t>г. Могоча, ул. Клубная, д. 3</t>
    </r>
    <r>
      <rPr>
        <vertAlign val="superscript"/>
        <sz val="11"/>
        <rFont val="Times New Roman"/>
        <family val="1"/>
        <charset val="204"/>
      </rPr>
      <t>(1)</t>
    </r>
  </si>
  <si>
    <r>
      <t>г. Могоча, ул. Комсомольская, д. 9</t>
    </r>
    <r>
      <rPr>
        <vertAlign val="superscript"/>
        <sz val="11"/>
        <rFont val="Times New Roman"/>
        <family val="1"/>
        <charset val="204"/>
      </rPr>
      <t>(2)</t>
    </r>
  </si>
  <si>
    <r>
      <t>г. Могоча, ул. Садовая, д. 16</t>
    </r>
    <r>
      <rPr>
        <vertAlign val="superscript"/>
        <sz val="11"/>
        <rFont val="Times New Roman"/>
        <family val="1"/>
        <charset val="204"/>
      </rPr>
      <t>(1)</t>
    </r>
  </si>
  <si>
    <r>
      <rPr>
        <sz val="11"/>
        <rFont val="Times New Roman"/>
        <family val="1"/>
        <charset val="204"/>
      </rPr>
      <t>г. Нерчинск, ул. Декабристов, д. 7</t>
    </r>
    <r>
      <rPr>
        <vertAlign val="superscript"/>
        <sz val="11"/>
        <rFont val="Times New Roman"/>
        <family val="1"/>
        <charset val="204"/>
      </rPr>
      <t>(5)</t>
    </r>
  </si>
  <si>
    <r>
      <rPr>
        <sz val="11"/>
        <rFont val="Times New Roman"/>
        <family val="1"/>
        <charset val="204"/>
      </rPr>
      <t>г. Нерчинск, ул. Красноармейская, д. 84</t>
    </r>
    <r>
      <rPr>
        <vertAlign val="superscript"/>
        <sz val="11"/>
        <rFont val="Times New Roman"/>
        <family val="1"/>
        <charset val="204"/>
      </rPr>
      <t>(1/1)</t>
    </r>
  </si>
  <si>
    <r>
      <t>г. Нерчинск, ул. Красноармейская, д. 88</t>
    </r>
    <r>
      <rPr>
        <vertAlign val="superscript"/>
        <sz val="11"/>
        <rFont val="Times New Roman"/>
        <family val="1"/>
        <charset val="204"/>
      </rPr>
      <t>(8)</t>
    </r>
  </si>
  <si>
    <t xml:space="preserve">пгт. Оловянная, ул. Московская, д. 75 </t>
  </si>
  <si>
    <r>
      <rPr>
        <sz val="11"/>
        <rFont val="Times New Roman"/>
        <family val="1"/>
        <charset val="204"/>
      </rPr>
      <t>пгт. Ясногорск, мкр. Луговой, д. 9</t>
    </r>
    <r>
      <rPr>
        <vertAlign val="superscript"/>
        <sz val="11"/>
        <rFont val="Times New Roman"/>
        <family val="1"/>
        <charset val="204"/>
      </rPr>
      <t>(1)</t>
    </r>
  </si>
  <si>
    <r>
      <rPr>
        <sz val="11"/>
        <rFont val="Times New Roman"/>
        <family val="1"/>
        <charset val="204"/>
      </rPr>
      <t>пгт. Ясногорск, мкр. Советский, д. 2</t>
    </r>
    <r>
      <rPr>
        <vertAlign val="superscript"/>
        <sz val="11"/>
        <rFont val="Times New Roman"/>
        <family val="1"/>
        <charset val="204"/>
      </rPr>
      <t>(8)</t>
    </r>
  </si>
  <si>
    <r>
      <rPr>
        <sz val="11"/>
        <rFont val="Times New Roman"/>
        <family val="1"/>
        <charset val="204"/>
      </rPr>
      <t>пгт. Ясногорск, мкр. Советский, д. 3</t>
    </r>
    <r>
      <rPr>
        <vertAlign val="superscript"/>
        <sz val="11"/>
        <rFont val="Times New Roman"/>
        <family val="1"/>
        <charset val="204"/>
      </rPr>
      <t>(1/1)</t>
    </r>
  </si>
  <si>
    <r>
      <rPr>
        <sz val="11"/>
        <rFont val="Times New Roman"/>
        <family val="1"/>
        <charset val="204"/>
      </rPr>
      <t>пгт. Ясногорск, мкр. Степной, д. 1</t>
    </r>
    <r>
      <rPr>
        <vertAlign val="superscript"/>
        <sz val="11"/>
        <rFont val="Times New Roman"/>
        <family val="1"/>
        <charset val="204"/>
      </rPr>
      <t>(1)</t>
    </r>
  </si>
  <si>
    <r>
      <rPr>
        <sz val="11"/>
        <rFont val="Times New Roman"/>
        <family val="1"/>
        <charset val="204"/>
      </rPr>
      <t>пгт. Ясногорск, ул. Молодежная, д. 4</t>
    </r>
    <r>
      <rPr>
        <vertAlign val="superscript"/>
        <sz val="11"/>
        <rFont val="Times New Roman"/>
        <family val="1"/>
        <charset val="204"/>
      </rPr>
      <t>(1/1)</t>
    </r>
  </si>
  <si>
    <r>
      <rPr>
        <sz val="11"/>
        <rFont val="Times New Roman"/>
        <family val="1"/>
        <charset val="204"/>
      </rPr>
      <t>пгт. Ясногорск, ул. Молодежная, д. 5</t>
    </r>
    <r>
      <rPr>
        <vertAlign val="superscript"/>
        <sz val="11"/>
        <rFont val="Times New Roman"/>
        <family val="1"/>
        <charset val="204"/>
      </rPr>
      <t>(1/1)</t>
    </r>
  </si>
  <si>
    <r>
      <rPr>
        <sz val="11"/>
        <rFont val="Times New Roman"/>
        <family val="1"/>
        <charset val="204"/>
      </rPr>
      <t>п/ст. Ясная, ул. Ленина, д. 20</t>
    </r>
    <r>
      <rPr>
        <vertAlign val="superscript"/>
        <sz val="11"/>
        <rFont val="Times New Roman"/>
        <family val="1"/>
        <charset val="204"/>
      </rPr>
      <t>(1/1)</t>
    </r>
  </si>
  <si>
    <r>
      <rPr>
        <sz val="11"/>
        <rFont val="Times New Roman"/>
        <family val="1"/>
        <charset val="204"/>
      </rPr>
      <t>п/ст. Ясная, ул. Мира, д. 12</t>
    </r>
    <r>
      <rPr>
        <vertAlign val="superscript"/>
        <sz val="11"/>
        <rFont val="Times New Roman"/>
        <family val="1"/>
        <charset val="204"/>
      </rPr>
      <t>(1/1)</t>
    </r>
  </si>
  <si>
    <r>
      <rPr>
        <sz val="11"/>
        <rFont val="Times New Roman"/>
        <family val="1"/>
        <charset val="204"/>
      </rPr>
      <t>п/ст. Ясная, ул. Мира, д. 16</t>
    </r>
    <r>
      <rPr>
        <vertAlign val="superscript"/>
        <sz val="11"/>
        <rFont val="Times New Roman"/>
        <family val="1"/>
        <charset val="204"/>
      </rPr>
      <t>(1/1)</t>
    </r>
  </si>
  <si>
    <r>
      <t>пгт. Приаргунск, мкр. 2-й, д. 3</t>
    </r>
    <r>
      <rPr>
        <vertAlign val="superscript"/>
        <sz val="11"/>
        <rFont val="Times New Roman"/>
        <family val="1"/>
        <charset val="204"/>
      </rPr>
      <t>(6)</t>
    </r>
  </si>
  <si>
    <r>
      <t>пгт. Приаргунск, мкр. МЖК, д. 1</t>
    </r>
    <r>
      <rPr>
        <vertAlign val="superscript"/>
        <sz val="11"/>
        <rFont val="Times New Roman"/>
        <family val="1"/>
        <charset val="204"/>
      </rPr>
      <t>(6)</t>
    </r>
  </si>
  <si>
    <r>
      <rPr>
        <sz val="11"/>
        <rFont val="Times New Roman"/>
        <family val="1"/>
        <charset val="204"/>
      </rPr>
      <t>пгт. Приаргунск, мкр. МЖК, д. 2</t>
    </r>
    <r>
      <rPr>
        <vertAlign val="superscript"/>
        <sz val="11"/>
        <rFont val="Times New Roman"/>
        <family val="1"/>
        <charset val="204"/>
      </rPr>
      <t>(1)</t>
    </r>
  </si>
  <si>
    <r>
      <rPr>
        <sz val="11"/>
        <rFont val="Times New Roman"/>
        <family val="1"/>
        <charset val="204"/>
      </rPr>
      <t>пгт. Приаргунск, ул. Воинов Интернационалистов, д. 1</t>
    </r>
    <r>
      <rPr>
        <vertAlign val="superscript"/>
        <sz val="11"/>
        <rFont val="Times New Roman"/>
        <family val="1"/>
        <charset val="204"/>
      </rPr>
      <t>(1)</t>
    </r>
  </si>
  <si>
    <r>
      <t>пгт. Приаргунск, ул. Октябрьская, д. 5</t>
    </r>
    <r>
      <rPr>
        <vertAlign val="superscript"/>
        <sz val="11"/>
        <rFont val="Times New Roman"/>
        <family val="1"/>
        <charset val="204"/>
      </rPr>
      <t>(6)</t>
    </r>
  </si>
  <si>
    <r>
      <rPr>
        <sz val="11"/>
        <rFont val="Times New Roman"/>
        <family val="1"/>
        <charset val="204"/>
      </rPr>
      <t>пгт. Кокуй, ул. Заводская, д. 27</t>
    </r>
    <r>
      <rPr>
        <vertAlign val="superscript"/>
        <sz val="11"/>
        <rFont val="Times New Roman"/>
        <family val="1"/>
        <charset val="204"/>
      </rPr>
      <t>(4)</t>
    </r>
  </si>
  <si>
    <r>
      <rPr>
        <sz val="11"/>
        <rFont val="Times New Roman"/>
        <family val="1"/>
        <charset val="204"/>
      </rPr>
      <t>с. Дунаево, ул. Нагорная, д. 8</t>
    </r>
    <r>
      <rPr>
        <vertAlign val="superscript"/>
        <sz val="11"/>
        <rFont val="Times New Roman"/>
        <family val="1"/>
        <charset val="204"/>
      </rPr>
      <t>/(4)</t>
    </r>
  </si>
  <si>
    <r>
      <t>пгт. Вершино-Дарасунский, ул. Лесная, д. 28</t>
    </r>
    <r>
      <rPr>
        <vertAlign val="superscript"/>
        <sz val="11"/>
        <rFont val="Times New Roman"/>
        <family val="1"/>
        <charset val="204"/>
      </rPr>
      <t>(1)</t>
    </r>
  </si>
  <si>
    <r>
      <rPr>
        <sz val="11"/>
        <rFont val="Times New Roman"/>
        <family val="1"/>
        <charset val="204"/>
      </rPr>
      <t>пгт. Дровяная, мкр. 1-й, д. 1</t>
    </r>
    <r>
      <rPr>
        <vertAlign val="superscript"/>
        <sz val="11"/>
        <rFont val="Times New Roman"/>
        <family val="1"/>
        <charset val="204"/>
      </rPr>
      <t>(1,4)</t>
    </r>
  </si>
  <si>
    <r>
      <rPr>
        <sz val="11"/>
        <rFont val="Times New Roman"/>
        <family val="1"/>
        <charset val="204"/>
      </rPr>
      <t>п/ст. Жипхеген, ул. Таежная, д. 11</t>
    </r>
    <r>
      <rPr>
        <vertAlign val="superscript"/>
        <sz val="11"/>
        <rFont val="Times New Roman"/>
        <family val="1"/>
        <charset val="204"/>
      </rPr>
      <t>(1)</t>
    </r>
  </si>
  <si>
    <r>
      <rPr>
        <sz val="11"/>
        <rFont val="Times New Roman"/>
        <family val="1"/>
        <charset val="204"/>
      </rPr>
      <t>пгт. Чернышевск, ул. Журавлева, д. 61</t>
    </r>
    <r>
      <rPr>
        <vertAlign val="superscript"/>
        <sz val="11"/>
        <rFont val="Times New Roman"/>
        <family val="1"/>
        <charset val="204"/>
      </rPr>
      <t>(1)</t>
    </r>
  </si>
  <si>
    <t>пгт. Чернышевск, ул. Северная, д. 2 д</t>
  </si>
  <si>
    <r>
      <rPr>
        <sz val="11"/>
        <rFont val="Times New Roman"/>
        <family val="1"/>
        <charset val="204"/>
      </rPr>
      <t>пгт. Атамановка, ул. Гагарина, д. 10</t>
    </r>
    <r>
      <rPr>
        <vertAlign val="superscript"/>
        <sz val="11"/>
        <rFont val="Times New Roman"/>
        <family val="1"/>
        <charset val="204"/>
      </rPr>
      <t>(1/1)</t>
    </r>
  </si>
  <si>
    <t>пгт. Атамановка, ул. Гагарина, д. 16</t>
  </si>
  <si>
    <r>
      <rPr>
        <sz val="11"/>
        <rFont val="Times New Roman"/>
        <family val="1"/>
        <charset val="204"/>
      </rPr>
      <t>пгт. Атамановка, ул. Матюгина, д. 129</t>
    </r>
    <r>
      <rPr>
        <vertAlign val="superscript"/>
        <sz val="11"/>
        <rFont val="Times New Roman"/>
        <family val="1"/>
        <charset val="204"/>
      </rPr>
      <t>(2)</t>
    </r>
  </si>
  <si>
    <r>
      <rPr>
        <sz val="11"/>
        <rFont val="Times New Roman"/>
        <family val="1"/>
        <charset val="204"/>
      </rPr>
      <t>пгт. Атамановка, ул. Матюгина, д. 158б</t>
    </r>
    <r>
      <rPr>
        <vertAlign val="superscript"/>
        <sz val="11"/>
        <rFont val="Times New Roman"/>
        <family val="1"/>
        <charset val="204"/>
      </rPr>
      <t>(1/1, 2)</t>
    </r>
  </si>
  <si>
    <r>
      <t>пгт. Атамановка, ул. Новая, д. 7</t>
    </r>
    <r>
      <rPr>
        <vertAlign val="superscript"/>
        <sz val="11"/>
        <rFont val="Times New Roman"/>
        <family val="1"/>
        <charset val="204"/>
      </rPr>
      <t>(1)</t>
    </r>
  </si>
  <si>
    <r>
      <t>пгт. Новокручининский, ул. Площадка-2, д. 4</t>
    </r>
    <r>
      <rPr>
        <vertAlign val="superscript"/>
        <sz val="11"/>
        <rFont val="Times New Roman"/>
        <family val="1"/>
        <charset val="204"/>
      </rPr>
      <t>(1)</t>
    </r>
  </si>
  <si>
    <r>
      <rPr>
        <sz val="11"/>
        <rFont val="Times New Roman"/>
        <family val="1"/>
        <charset val="204"/>
      </rPr>
      <t>пгт. Новокручининский, ул. Российская, д. 3</t>
    </r>
    <r>
      <rPr>
        <vertAlign val="superscript"/>
        <sz val="11"/>
        <rFont val="Times New Roman"/>
        <family val="1"/>
        <charset val="204"/>
      </rPr>
      <t>(2,4)</t>
    </r>
  </si>
  <si>
    <r>
      <rPr>
        <sz val="11"/>
        <rFont val="Times New Roman"/>
        <family val="1"/>
        <charset val="204"/>
      </rPr>
      <t>с. Засопка, ул. Пионерская, д. 5</t>
    </r>
    <r>
      <rPr>
        <vertAlign val="superscript"/>
        <sz val="11"/>
        <rFont val="Times New Roman"/>
        <family val="1"/>
        <charset val="204"/>
      </rPr>
      <t>(1,4)</t>
    </r>
  </si>
  <si>
    <t>Итого по муниципальному району "Шилкинский район":</t>
  </si>
  <si>
    <t>0,00</t>
  </si>
  <si>
    <r>
      <t>г. Шилка, ул. Балябина, д. 134</t>
    </r>
    <r>
      <rPr>
        <vertAlign val="superscript"/>
        <sz val="11"/>
        <rFont val="Times New Roman"/>
        <family val="1"/>
        <charset val="204"/>
      </rPr>
      <t>(4)</t>
    </r>
  </si>
  <si>
    <r>
      <rPr>
        <sz val="11"/>
        <rFont val="Times New Roman"/>
        <family val="1"/>
        <charset val="204"/>
      </rPr>
      <t>г. Шилка, ул. Ленина, д. 88</t>
    </r>
    <r>
      <rPr>
        <vertAlign val="superscript"/>
        <sz val="11"/>
        <rFont val="Times New Roman"/>
        <family val="1"/>
        <charset val="204"/>
      </rPr>
      <t>(1,4)</t>
    </r>
  </si>
  <si>
    <r>
      <rPr>
        <sz val="11"/>
        <rFont val="Times New Roman"/>
        <family val="1"/>
        <charset val="204"/>
      </rPr>
      <t>г. Шилка, ул. Погодаева, д. 13</t>
    </r>
    <r>
      <rPr>
        <vertAlign val="superscript"/>
        <sz val="11"/>
        <rFont val="Times New Roman"/>
        <family val="1"/>
        <charset val="204"/>
      </rPr>
      <t>(1,2/2,4)</t>
    </r>
  </si>
  <si>
    <r>
      <rPr>
        <sz val="11"/>
        <rFont val="Times New Roman"/>
        <family val="1"/>
        <charset val="204"/>
      </rPr>
      <t>г. Шилка, ул. им. Пузырева, д. 4</t>
    </r>
    <r>
      <rPr>
        <vertAlign val="superscript"/>
        <sz val="11"/>
        <rFont val="Times New Roman"/>
        <family val="1"/>
        <charset val="204"/>
      </rPr>
      <t>(1)</t>
    </r>
  </si>
  <si>
    <r>
      <t>пгт. Первомайский, нп. Микрорайон, д. 12</t>
    </r>
    <r>
      <rPr>
        <vertAlign val="superscript"/>
        <sz val="11"/>
        <rFont val="Times New Roman"/>
        <family val="1"/>
        <charset val="204"/>
      </rPr>
      <t>(1)</t>
    </r>
  </si>
  <si>
    <r>
      <rPr>
        <sz val="11"/>
        <rFont val="Times New Roman"/>
        <family val="1"/>
        <charset val="204"/>
      </rPr>
      <t>пгт. Первомайский, нп. Микрорайон, д. 4</t>
    </r>
    <r>
      <rPr>
        <vertAlign val="superscript"/>
        <sz val="11"/>
        <rFont val="Times New Roman"/>
        <family val="1"/>
        <charset val="204"/>
      </rPr>
      <t>(8)</t>
    </r>
  </si>
  <si>
    <r>
      <t>пгт. Первомайский, ул. 8 Марта, д. 1</t>
    </r>
    <r>
      <rPr>
        <vertAlign val="superscript"/>
        <sz val="11"/>
        <rFont val="Times New Roman"/>
        <family val="1"/>
        <charset val="204"/>
      </rPr>
      <t>(4)</t>
    </r>
  </si>
  <si>
    <r>
      <t>пгт. Первомайский, ул. Мира, д. 21</t>
    </r>
    <r>
      <rPr>
        <vertAlign val="superscript"/>
        <sz val="11"/>
        <rFont val="Times New Roman"/>
        <family val="1"/>
        <charset val="204"/>
      </rPr>
      <t>(1)</t>
    </r>
  </si>
  <si>
    <r>
      <rPr>
        <sz val="11"/>
        <rFont val="Times New Roman"/>
        <family val="1"/>
        <charset val="204"/>
      </rPr>
      <t>пгт. Первомайский, ул. Строительная, д. 5, блок А</t>
    </r>
    <r>
      <rPr>
        <vertAlign val="superscript"/>
        <sz val="11"/>
        <rFont val="Times New Roman"/>
        <family val="1"/>
        <charset val="204"/>
      </rPr>
      <t>(1)</t>
    </r>
  </si>
  <si>
    <r>
      <rPr>
        <sz val="11"/>
        <rFont val="Times New Roman"/>
        <family val="1"/>
        <charset val="204"/>
      </rPr>
      <t>пгт. Первомайский, ул. Строительная, д. 9а</t>
    </r>
    <r>
      <rPr>
        <vertAlign val="superscript"/>
        <sz val="11"/>
        <rFont val="Times New Roman"/>
        <family val="1"/>
        <charset val="204"/>
      </rPr>
      <t>(1)</t>
    </r>
  </si>
  <si>
    <r>
      <t>с. Солнцево, ул. Станционная, д. 7</t>
    </r>
    <r>
      <rPr>
        <vertAlign val="superscript"/>
        <sz val="11"/>
        <rFont val="Times New Roman"/>
        <family val="1"/>
        <charset val="204"/>
      </rPr>
      <t>(4)</t>
    </r>
  </si>
  <si>
    <t>в том числе по городскому поселению "Холбонское":</t>
  </si>
  <si>
    <r>
      <rPr>
        <sz val="11"/>
        <rFont val="Times New Roman"/>
        <family val="1"/>
        <charset val="204"/>
      </rPr>
      <t>пгт. Холбон, ул. Садовая, д. 13</t>
    </r>
    <r>
      <rPr>
        <vertAlign val="superscript"/>
        <sz val="11"/>
        <rFont val="Times New Roman"/>
        <family val="1"/>
        <charset val="204"/>
      </rPr>
      <t>(1)</t>
    </r>
  </si>
  <si>
    <r>
      <rPr>
        <sz val="11"/>
        <rFont val="Times New Roman"/>
        <family val="1"/>
        <charset val="204"/>
      </rPr>
      <t>г. Чита, б-р. Украинский, д. 12</t>
    </r>
    <r>
      <rPr>
        <vertAlign val="superscript"/>
        <sz val="11"/>
        <rFont val="Times New Roman"/>
        <family val="1"/>
        <charset val="204"/>
      </rPr>
      <t>(1)</t>
    </r>
  </si>
  <si>
    <r>
      <rPr>
        <sz val="11"/>
        <rFont val="Times New Roman"/>
        <family val="1"/>
        <charset val="204"/>
      </rPr>
      <t>г. Чита, б-р. Украинский, д. 22</t>
    </r>
    <r>
      <rPr>
        <vertAlign val="superscript"/>
        <sz val="11"/>
        <rFont val="Times New Roman"/>
        <family val="1"/>
        <charset val="204"/>
      </rPr>
      <t>(5)</t>
    </r>
  </si>
  <si>
    <r>
      <rPr>
        <sz val="11"/>
        <rFont val="Times New Roman"/>
        <family val="1"/>
        <charset val="204"/>
      </rPr>
      <t>г. Чита, б-р. Украинский, д. 28</t>
    </r>
    <r>
      <rPr>
        <vertAlign val="superscript"/>
        <sz val="11"/>
        <rFont val="Times New Roman"/>
        <family val="1"/>
        <charset val="204"/>
      </rPr>
      <t>(2)</t>
    </r>
  </si>
  <si>
    <r>
      <rPr>
        <sz val="11"/>
        <rFont val="Times New Roman"/>
        <family val="1"/>
        <charset val="204"/>
      </rPr>
      <t>г. Чита, мкр. 4-й, д. 9</t>
    </r>
    <r>
      <rPr>
        <vertAlign val="superscript"/>
        <sz val="11"/>
        <rFont val="Times New Roman"/>
        <family val="1"/>
        <charset val="204"/>
      </rPr>
      <t>(9,10)</t>
    </r>
  </si>
  <si>
    <r>
      <rPr>
        <sz val="11"/>
        <rFont val="Times New Roman"/>
        <family val="1"/>
        <charset val="204"/>
      </rPr>
      <t>г. Чита, мкр. 5-й, д. 19</t>
    </r>
    <r>
      <rPr>
        <vertAlign val="superscript"/>
        <sz val="11"/>
        <rFont val="Times New Roman"/>
        <family val="1"/>
        <charset val="204"/>
      </rPr>
      <t>(9)</t>
    </r>
  </si>
  <si>
    <r>
      <rPr>
        <sz val="11"/>
        <rFont val="Times New Roman"/>
        <family val="1"/>
        <charset val="204"/>
      </rPr>
      <t>г. Чита, мкр. 6-й, д. 15</t>
    </r>
    <r>
      <rPr>
        <vertAlign val="superscript"/>
        <sz val="11"/>
        <rFont val="Times New Roman"/>
        <family val="1"/>
        <charset val="204"/>
      </rPr>
      <t>(9,10)</t>
    </r>
  </si>
  <si>
    <r>
      <rPr>
        <sz val="11"/>
        <rFont val="Times New Roman"/>
        <family val="1"/>
        <charset val="204"/>
      </rPr>
      <t>г. Чита, мкр. Батарейный, д. 3</t>
    </r>
    <r>
      <rPr>
        <vertAlign val="superscript"/>
        <sz val="11"/>
        <rFont val="Times New Roman"/>
        <family val="1"/>
        <charset val="204"/>
      </rPr>
      <t>(4)</t>
    </r>
  </si>
  <si>
    <r>
      <rPr>
        <sz val="11"/>
        <rFont val="Times New Roman"/>
        <family val="1"/>
        <charset val="204"/>
      </rPr>
      <t>г. Чита, мкр. Гвардейский, д. 12</t>
    </r>
    <r>
      <rPr>
        <vertAlign val="superscript"/>
        <sz val="11"/>
        <rFont val="Times New Roman"/>
        <family val="1"/>
        <charset val="204"/>
      </rPr>
      <t>(8,9)</t>
    </r>
  </si>
  <si>
    <r>
      <rPr>
        <sz val="11"/>
        <rFont val="Times New Roman"/>
        <family val="1"/>
        <charset val="204"/>
      </rPr>
      <t>г. Чита, мкр. Гвардейский, д. 6</t>
    </r>
    <r>
      <rPr>
        <vertAlign val="superscript"/>
        <sz val="11"/>
        <rFont val="Times New Roman"/>
        <family val="1"/>
        <charset val="204"/>
      </rPr>
      <t>(5)</t>
    </r>
  </si>
  <si>
    <r>
      <rPr>
        <sz val="11"/>
        <rFont val="Times New Roman"/>
        <family val="1"/>
        <charset val="204"/>
      </rPr>
      <t>г. Чита, мкр. Геофизический, д. 7</t>
    </r>
    <r>
      <rPr>
        <vertAlign val="superscript"/>
        <sz val="11"/>
        <rFont val="Times New Roman"/>
        <family val="1"/>
        <charset val="204"/>
      </rPr>
      <t>(1)</t>
    </r>
  </si>
  <si>
    <r>
      <rPr>
        <sz val="11"/>
        <rFont val="Times New Roman"/>
        <family val="1"/>
        <charset val="204"/>
      </rPr>
      <t>г. Чита, мкр. Осетровка, д. 30</t>
    </r>
    <r>
      <rPr>
        <vertAlign val="superscript"/>
        <sz val="11"/>
        <rFont val="Times New Roman"/>
        <family val="1"/>
        <charset val="204"/>
      </rPr>
      <t>(8,9)</t>
    </r>
  </si>
  <si>
    <r>
      <rPr>
        <sz val="11"/>
        <rFont val="Times New Roman"/>
        <family val="1"/>
        <charset val="204"/>
      </rPr>
      <t>г. Чита, мкр. Северный, д. 13</t>
    </r>
    <r>
      <rPr>
        <vertAlign val="superscript"/>
        <sz val="11"/>
        <rFont val="Times New Roman"/>
        <family val="1"/>
        <charset val="204"/>
      </rPr>
      <t>(8,9,10)</t>
    </r>
  </si>
  <si>
    <r>
      <rPr>
        <sz val="11"/>
        <rFont val="Times New Roman"/>
        <family val="1"/>
        <charset val="204"/>
      </rPr>
      <t>г. Чита, мкр. Северный, д. 58</t>
    </r>
    <r>
      <rPr>
        <vertAlign val="superscript"/>
        <sz val="11"/>
        <rFont val="Times New Roman"/>
        <family val="1"/>
        <charset val="204"/>
      </rPr>
      <t>(5,8,9,10)</t>
    </r>
  </si>
  <si>
    <r>
      <rPr>
        <sz val="11"/>
        <rFont val="Times New Roman"/>
        <family val="1"/>
        <charset val="204"/>
      </rPr>
      <t>г. Чита, мкр. Северный, д. 62</t>
    </r>
    <r>
      <rPr>
        <vertAlign val="superscript"/>
        <sz val="11"/>
        <rFont val="Times New Roman"/>
        <family val="1"/>
        <charset val="204"/>
      </rPr>
      <t>(7)</t>
    </r>
  </si>
  <si>
    <r>
      <rPr>
        <sz val="11"/>
        <rFont val="Times New Roman"/>
        <family val="1"/>
        <charset val="204"/>
      </rPr>
      <t>г. Чита, мкр. Северный, д. 63</t>
    </r>
    <r>
      <rPr>
        <vertAlign val="superscript"/>
        <sz val="11"/>
        <rFont val="Times New Roman"/>
        <family val="1"/>
        <charset val="204"/>
      </rPr>
      <t>(7)</t>
    </r>
  </si>
  <si>
    <r>
      <t>г. Чита, п. Ясный, д. 1</t>
    </r>
    <r>
      <rPr>
        <vertAlign val="superscript"/>
        <sz val="11"/>
        <rFont val="Times New Roman"/>
        <family val="1"/>
        <charset val="204"/>
      </rPr>
      <t>(2)</t>
    </r>
  </si>
  <si>
    <r>
      <rPr>
        <sz val="11"/>
        <rFont val="Times New Roman"/>
        <family val="1"/>
        <charset val="204"/>
      </rPr>
      <t>г. Чита, п. Ясный, д. 3</t>
    </r>
    <r>
      <rPr>
        <vertAlign val="superscript"/>
        <sz val="11"/>
        <rFont val="Times New Roman"/>
        <family val="1"/>
        <charset val="204"/>
      </rPr>
      <t>(8,9)</t>
    </r>
  </si>
  <si>
    <r>
      <rPr>
        <sz val="11"/>
        <rFont val="Times New Roman"/>
        <family val="1"/>
        <charset val="204"/>
      </rPr>
      <t>г. Чита, п. Ясный, д. 4</t>
    </r>
    <r>
      <rPr>
        <vertAlign val="superscript"/>
        <sz val="11"/>
        <rFont val="Times New Roman"/>
        <family val="1"/>
        <charset val="204"/>
      </rPr>
      <t>(8,9)</t>
    </r>
  </si>
  <si>
    <r>
      <rPr>
        <sz val="11"/>
        <rFont val="Times New Roman"/>
        <family val="1"/>
        <charset val="204"/>
      </rPr>
      <t>г. Чита, п. Ясный, д. 5</t>
    </r>
    <r>
      <rPr>
        <vertAlign val="superscript"/>
        <sz val="11"/>
        <rFont val="Times New Roman"/>
        <family val="1"/>
        <charset val="204"/>
      </rPr>
      <t>(8,9)</t>
    </r>
  </si>
  <si>
    <r>
      <rPr>
        <sz val="11"/>
        <rFont val="Times New Roman"/>
        <family val="1"/>
        <charset val="204"/>
      </rPr>
      <t>г. Чита, п. Ясный, д. 6</t>
    </r>
    <r>
      <rPr>
        <vertAlign val="superscript"/>
        <sz val="11"/>
        <rFont val="Times New Roman"/>
        <family val="1"/>
        <charset val="204"/>
      </rPr>
      <t>(8,9)</t>
    </r>
  </si>
  <si>
    <r>
      <rPr>
        <sz val="11"/>
        <rFont val="Times New Roman"/>
        <family val="1"/>
        <charset val="204"/>
      </rPr>
      <t>г. Чита, п. Ясный, д. 7</t>
    </r>
    <r>
      <rPr>
        <vertAlign val="superscript"/>
        <sz val="11"/>
        <rFont val="Times New Roman"/>
        <family val="1"/>
        <charset val="204"/>
      </rPr>
      <t>(4,8,9)</t>
    </r>
  </si>
  <si>
    <r>
      <rPr>
        <sz val="11"/>
        <rFont val="Times New Roman"/>
        <family val="1"/>
        <charset val="204"/>
      </rPr>
      <t>г. Чита, п. Ясный, д. 8</t>
    </r>
    <r>
      <rPr>
        <vertAlign val="superscript"/>
        <sz val="11"/>
        <rFont val="Times New Roman"/>
        <family val="1"/>
        <charset val="204"/>
      </rPr>
      <t>(4,8,9)</t>
    </r>
  </si>
  <si>
    <r>
      <rPr>
        <sz val="11"/>
        <rFont val="Times New Roman"/>
        <family val="1"/>
        <charset val="204"/>
      </rPr>
      <t>г. Чита, п. Ясный, д. 9</t>
    </r>
    <r>
      <rPr>
        <vertAlign val="superscript"/>
        <sz val="11"/>
        <rFont val="Times New Roman"/>
        <family val="1"/>
        <charset val="204"/>
      </rPr>
      <t>(4,8,9)</t>
    </r>
  </si>
  <si>
    <r>
      <rPr>
        <sz val="11"/>
        <rFont val="Times New Roman"/>
        <family val="1"/>
        <charset val="204"/>
      </rPr>
      <t>г. Чита, пер. Железобетонный, д. 4а</t>
    </r>
    <r>
      <rPr>
        <vertAlign val="superscript"/>
        <sz val="11"/>
        <rFont val="Times New Roman"/>
        <family val="1"/>
        <charset val="204"/>
      </rPr>
      <t>(1/1)</t>
    </r>
  </si>
  <si>
    <r>
      <rPr>
        <sz val="11"/>
        <rFont val="Times New Roman"/>
        <family val="1"/>
        <charset val="204"/>
      </rPr>
      <t>г. Чита, пр-кт. Советов, д. 7</t>
    </r>
    <r>
      <rPr>
        <vertAlign val="superscript"/>
        <sz val="11"/>
        <rFont val="Times New Roman"/>
        <family val="1"/>
        <charset val="204"/>
      </rPr>
      <t>(1,4)</t>
    </r>
  </si>
  <si>
    <r>
      <rPr>
        <sz val="11"/>
        <rFont val="Times New Roman"/>
        <family val="1"/>
        <charset val="204"/>
      </rPr>
      <t>г. Чита, пр-кт. Фадеева, д. 5</t>
    </r>
    <r>
      <rPr>
        <vertAlign val="superscript"/>
        <sz val="11"/>
        <rFont val="Times New Roman"/>
        <family val="1"/>
        <charset val="204"/>
      </rPr>
      <t>(7)</t>
    </r>
  </si>
  <si>
    <r>
      <rPr>
        <sz val="11"/>
        <rFont val="Times New Roman"/>
        <family val="1"/>
        <charset val="204"/>
      </rPr>
      <t>г. Чита, проезд Авиаторов, д. 23</t>
    </r>
    <r>
      <rPr>
        <vertAlign val="superscript"/>
        <sz val="11"/>
        <rFont val="Times New Roman"/>
        <family val="1"/>
        <charset val="204"/>
      </rPr>
      <t>(1,2,4,8)</t>
    </r>
  </si>
  <si>
    <r>
      <rPr>
        <sz val="11"/>
        <rFont val="Times New Roman"/>
        <family val="1"/>
        <charset val="204"/>
      </rPr>
      <t>г. Чита, проезд Новодевичий, д. 16</t>
    </r>
    <r>
      <rPr>
        <vertAlign val="superscript"/>
        <sz val="11"/>
        <rFont val="Times New Roman"/>
        <family val="1"/>
        <charset val="204"/>
      </rPr>
      <t>(1,2/2)</t>
    </r>
  </si>
  <si>
    <r>
      <rPr>
        <sz val="11"/>
        <rFont val="Times New Roman"/>
        <family val="1"/>
        <charset val="204"/>
      </rPr>
      <t>г. Чита, проезд Полковой, д. 6а</t>
    </r>
    <r>
      <rPr>
        <vertAlign val="superscript"/>
        <sz val="11"/>
        <rFont val="Times New Roman"/>
        <family val="1"/>
        <charset val="204"/>
      </rPr>
      <t>(1,4,8)</t>
    </r>
  </si>
  <si>
    <r>
      <rPr>
        <sz val="11"/>
        <rFont val="Times New Roman"/>
        <family val="1"/>
        <charset val="204"/>
      </rPr>
      <t>г. Чита, тр-кт. Молоковский, д. 114</t>
    </r>
    <r>
      <rPr>
        <vertAlign val="superscript"/>
        <sz val="11"/>
        <rFont val="Times New Roman"/>
        <family val="1"/>
        <charset val="204"/>
      </rPr>
      <t>(9,10)</t>
    </r>
  </si>
  <si>
    <r>
      <rPr>
        <sz val="11"/>
        <rFont val="Times New Roman"/>
        <family val="1"/>
        <charset val="204"/>
      </rPr>
      <t>г. Чита, ул. 2-я Верхневокзальная, д. 16</t>
    </r>
    <r>
      <rPr>
        <vertAlign val="superscript"/>
        <sz val="11"/>
        <rFont val="Times New Roman"/>
        <family val="1"/>
        <charset val="204"/>
      </rPr>
      <t>(1,2/2,4,9,10)</t>
    </r>
  </si>
  <si>
    <r>
      <rPr>
        <sz val="11"/>
        <rFont val="Times New Roman"/>
        <family val="1"/>
        <charset val="204"/>
      </rPr>
      <t>г. Чита, ул. 5-я Малая, д. 1б</t>
    </r>
    <r>
      <rPr>
        <vertAlign val="superscript"/>
        <sz val="11"/>
        <rFont val="Times New Roman"/>
        <family val="1"/>
        <charset val="204"/>
      </rPr>
      <t>(9,10)</t>
    </r>
  </si>
  <si>
    <r>
      <rPr>
        <sz val="11"/>
        <rFont val="Times New Roman"/>
        <family val="1"/>
        <charset val="204"/>
      </rPr>
      <t>г. Чита, ул. 5-я Малая, д. 1в</t>
    </r>
    <r>
      <rPr>
        <vertAlign val="superscript"/>
        <sz val="11"/>
        <rFont val="Times New Roman"/>
        <family val="1"/>
        <charset val="204"/>
      </rPr>
      <t>(1)</t>
    </r>
  </si>
  <si>
    <r>
      <rPr>
        <sz val="11"/>
        <rFont val="Times New Roman"/>
        <family val="1"/>
        <charset val="204"/>
      </rPr>
      <t>г. Чита, ул. 9 Января, д. 50</t>
    </r>
    <r>
      <rPr>
        <vertAlign val="superscript"/>
        <sz val="11"/>
        <rFont val="Times New Roman"/>
        <family val="1"/>
        <charset val="204"/>
      </rPr>
      <t>(7)</t>
    </r>
  </si>
  <si>
    <r>
      <rPr>
        <sz val="11"/>
        <rFont val="Times New Roman"/>
        <family val="1"/>
        <charset val="204"/>
      </rPr>
      <t>г. Чита, ул. Амурская, д. 23</t>
    </r>
    <r>
      <rPr>
        <vertAlign val="superscript"/>
        <sz val="11"/>
        <rFont val="Times New Roman"/>
        <family val="1"/>
        <charset val="204"/>
      </rPr>
      <t>(4,5,8,9,10)</t>
    </r>
  </si>
  <si>
    <r>
      <rPr>
        <sz val="11"/>
        <rFont val="Times New Roman"/>
        <family val="1"/>
        <charset val="204"/>
      </rPr>
      <t>г. Чита, ул. Амурская, д. 82</t>
    </r>
    <r>
      <rPr>
        <vertAlign val="superscript"/>
        <sz val="11"/>
        <rFont val="Times New Roman"/>
        <family val="1"/>
        <charset val="204"/>
      </rPr>
      <t>(1,2)</t>
    </r>
  </si>
  <si>
    <r>
      <rPr>
        <sz val="11"/>
        <rFont val="Times New Roman"/>
        <family val="1"/>
        <charset val="204"/>
      </rPr>
      <t>г. Чита, ул. Амурская, д. 84</t>
    </r>
    <r>
      <rPr>
        <vertAlign val="superscript"/>
        <sz val="11"/>
        <rFont val="Times New Roman"/>
        <family val="1"/>
        <charset val="204"/>
      </rPr>
      <t>(1,2)</t>
    </r>
  </si>
  <si>
    <r>
      <rPr>
        <sz val="11"/>
        <rFont val="Times New Roman"/>
        <family val="1"/>
        <charset val="204"/>
      </rPr>
      <t>г. Чита, ул. Амурская, д. 98</t>
    </r>
    <r>
      <rPr>
        <vertAlign val="superscript"/>
        <sz val="11"/>
        <rFont val="Times New Roman"/>
        <family val="1"/>
        <charset val="204"/>
      </rPr>
      <t>(1,2)</t>
    </r>
  </si>
  <si>
    <r>
      <rPr>
        <sz val="11"/>
        <rFont val="Times New Roman"/>
        <family val="1"/>
        <charset val="204"/>
      </rPr>
      <t>г. Чита, ул. Анохина, д. 4</t>
    </r>
    <r>
      <rPr>
        <vertAlign val="superscript"/>
        <sz val="11"/>
        <rFont val="Times New Roman"/>
        <family val="1"/>
        <charset val="204"/>
      </rPr>
      <t>(10)</t>
    </r>
  </si>
  <si>
    <r>
      <rPr>
        <sz val="11"/>
        <rFont val="Times New Roman"/>
        <family val="1"/>
        <charset val="204"/>
      </rPr>
      <t>г. Чита, ул. Бекетова, д. 20в</t>
    </r>
    <r>
      <rPr>
        <vertAlign val="superscript"/>
        <sz val="11"/>
        <rFont val="Times New Roman"/>
        <family val="1"/>
        <charset val="204"/>
      </rPr>
      <t>(1)</t>
    </r>
  </si>
  <si>
    <r>
      <rPr>
        <sz val="11"/>
        <rFont val="Times New Roman"/>
        <family val="1"/>
        <charset val="204"/>
      </rPr>
      <t>г. Чита, ул. Богдана Хмельницкого, д. 24 корп. 3</t>
    </r>
    <r>
      <rPr>
        <vertAlign val="superscript"/>
        <sz val="11"/>
        <rFont val="Times New Roman"/>
        <family val="1"/>
        <charset val="204"/>
      </rPr>
      <t>(9)</t>
    </r>
  </si>
  <si>
    <r>
      <rPr>
        <sz val="11"/>
        <rFont val="Times New Roman"/>
        <family val="1"/>
        <charset val="204"/>
      </rPr>
      <t>г. Чита, ул. Богомягкова, д. 24</t>
    </r>
    <r>
      <rPr>
        <vertAlign val="superscript"/>
        <sz val="11"/>
        <rFont val="Times New Roman"/>
        <family val="1"/>
        <charset val="204"/>
      </rPr>
      <t>(1,5)</t>
    </r>
  </si>
  <si>
    <r>
      <rPr>
        <sz val="11"/>
        <rFont val="Times New Roman"/>
        <family val="1"/>
        <charset val="204"/>
      </rPr>
      <t>г. Чита, ул. Гагарина, д. 11</t>
    </r>
    <r>
      <rPr>
        <vertAlign val="superscript"/>
        <sz val="11"/>
        <rFont val="Times New Roman"/>
        <family val="1"/>
        <charset val="204"/>
      </rPr>
      <t>(5)</t>
    </r>
  </si>
  <si>
    <r>
      <rPr>
        <sz val="11"/>
        <rFont val="Times New Roman"/>
        <family val="1"/>
        <charset val="204"/>
      </rPr>
      <t>г. Чита, ул. Гагарина, д. 4</t>
    </r>
    <r>
      <rPr>
        <vertAlign val="superscript"/>
        <sz val="11"/>
        <rFont val="Times New Roman"/>
        <family val="1"/>
        <charset val="204"/>
      </rPr>
      <t>(1,4)</t>
    </r>
  </si>
  <si>
    <r>
      <rPr>
        <sz val="11"/>
        <rFont val="Times New Roman"/>
        <family val="1"/>
        <charset val="204"/>
      </rPr>
      <t>г. Чита, ул. Гагарина, д. 8</t>
    </r>
    <r>
      <rPr>
        <vertAlign val="superscript"/>
        <sz val="11"/>
        <rFont val="Times New Roman"/>
        <family val="1"/>
        <charset val="204"/>
      </rPr>
      <t>(2)</t>
    </r>
  </si>
  <si>
    <r>
      <rPr>
        <sz val="11"/>
        <rFont val="Times New Roman"/>
        <family val="1"/>
        <charset val="204"/>
      </rPr>
      <t>г. Чита, ул. Георгия Костина, д. 49</t>
    </r>
    <r>
      <rPr>
        <vertAlign val="superscript"/>
        <sz val="11"/>
        <rFont val="Times New Roman"/>
        <family val="1"/>
        <charset val="204"/>
      </rPr>
      <t>(1,4)</t>
    </r>
  </si>
  <si>
    <r>
      <rPr>
        <sz val="11"/>
        <rFont val="Times New Roman"/>
        <family val="1"/>
        <charset val="204"/>
      </rPr>
      <t>г. Чита, ул. Горбунова, д. 19</t>
    </r>
    <r>
      <rPr>
        <vertAlign val="superscript"/>
        <sz val="11"/>
        <rFont val="Times New Roman"/>
        <family val="1"/>
        <charset val="204"/>
      </rPr>
      <t>(1,9)</t>
    </r>
  </si>
  <si>
    <t>г. Чита, ул. Железобетонная, д 16</t>
  </si>
  <si>
    <r>
      <rPr>
        <sz val="11"/>
        <rFont val="Times New Roman"/>
        <family val="1"/>
        <charset val="204"/>
      </rPr>
      <t>г. Чита, ул. Журавлева, д. 74</t>
    </r>
    <r>
      <rPr>
        <vertAlign val="superscript"/>
        <sz val="11"/>
        <rFont val="Times New Roman"/>
        <family val="1"/>
        <charset val="204"/>
      </rPr>
      <t>(7)</t>
    </r>
  </si>
  <si>
    <r>
      <rPr>
        <sz val="11"/>
        <rFont val="Times New Roman"/>
        <family val="1"/>
        <charset val="204"/>
      </rPr>
      <t>г. Чита, ул. Забайкальского Рабочего, д. 4</t>
    </r>
    <r>
      <rPr>
        <vertAlign val="superscript"/>
        <sz val="11"/>
        <rFont val="Times New Roman"/>
        <family val="1"/>
        <charset val="204"/>
      </rPr>
      <t>(9)</t>
    </r>
  </si>
  <si>
    <r>
      <rPr>
        <sz val="11"/>
        <rFont val="Times New Roman"/>
        <family val="1"/>
        <charset val="204"/>
      </rPr>
      <t>г. Чита, ул. Ингодинская, д. 4</t>
    </r>
    <r>
      <rPr>
        <vertAlign val="superscript"/>
        <sz val="11"/>
        <rFont val="Times New Roman"/>
        <family val="1"/>
        <charset val="204"/>
      </rPr>
      <t>(1)</t>
    </r>
  </si>
  <si>
    <r>
      <rPr>
        <sz val="11"/>
        <rFont val="Times New Roman"/>
        <family val="1"/>
        <charset val="204"/>
      </rPr>
      <t>г. Чита, ул. Казачья, д. 24</t>
    </r>
    <r>
      <rPr>
        <vertAlign val="superscript"/>
        <sz val="11"/>
        <rFont val="Times New Roman"/>
        <family val="1"/>
        <charset val="204"/>
      </rPr>
      <t>(9)</t>
    </r>
  </si>
  <si>
    <r>
      <rPr>
        <sz val="11"/>
        <rFont val="Times New Roman"/>
        <family val="1"/>
        <charset val="204"/>
      </rPr>
      <t>г. Чита, ул. Казачья, д. 3г</t>
    </r>
    <r>
      <rPr>
        <vertAlign val="superscript"/>
        <sz val="11"/>
        <rFont val="Times New Roman"/>
        <family val="1"/>
        <charset val="204"/>
      </rPr>
      <t>(8,9,10)</t>
    </r>
  </si>
  <si>
    <r>
      <rPr>
        <sz val="11"/>
        <rFont val="Times New Roman"/>
        <family val="1"/>
        <charset val="204"/>
      </rPr>
      <t>г. Чита, ул. Калангуйская, д. 38а</t>
    </r>
    <r>
      <rPr>
        <vertAlign val="superscript"/>
        <sz val="11"/>
        <rFont val="Times New Roman"/>
        <family val="1"/>
        <charset val="204"/>
      </rPr>
      <t>(9,10)</t>
    </r>
  </si>
  <si>
    <r>
      <rPr>
        <sz val="11"/>
        <rFont val="Times New Roman"/>
        <family val="1"/>
        <charset val="204"/>
      </rPr>
      <t>г. Чита, ул. Каларская, д. 2б</t>
    </r>
    <r>
      <rPr>
        <vertAlign val="superscript"/>
        <sz val="11"/>
        <rFont val="Times New Roman"/>
        <family val="1"/>
        <charset val="204"/>
      </rPr>
      <t>(2)</t>
    </r>
  </si>
  <si>
    <r>
      <rPr>
        <sz val="11"/>
        <rFont val="Times New Roman"/>
        <family val="1"/>
        <charset val="204"/>
      </rPr>
      <t>г. Чита, ул. Каларская, д. 4</t>
    </r>
    <r>
      <rPr>
        <vertAlign val="superscript"/>
        <sz val="11"/>
        <rFont val="Times New Roman"/>
        <family val="1"/>
        <charset val="204"/>
      </rPr>
      <t>(9,10)</t>
    </r>
  </si>
  <si>
    <r>
      <rPr>
        <sz val="11"/>
        <rFont val="Times New Roman"/>
        <family val="1"/>
        <charset val="204"/>
      </rPr>
      <t>г. Чита, ул. Ковыльная, д. 22</t>
    </r>
    <r>
      <rPr>
        <vertAlign val="superscript"/>
        <sz val="11"/>
        <rFont val="Times New Roman"/>
        <family val="1"/>
        <charset val="204"/>
      </rPr>
      <t>(9,10)</t>
    </r>
  </si>
  <si>
    <r>
      <rPr>
        <sz val="11"/>
        <rFont val="Times New Roman"/>
        <family val="1"/>
        <charset val="204"/>
      </rPr>
      <t>г. Чита, ул. Космонавтов, д. 22</t>
    </r>
    <r>
      <rPr>
        <vertAlign val="superscript"/>
        <sz val="11"/>
        <rFont val="Times New Roman"/>
        <family val="1"/>
        <charset val="204"/>
      </rPr>
      <t>(1,2,4,8)</t>
    </r>
  </si>
  <si>
    <r>
      <rPr>
        <sz val="11"/>
        <rFont val="Times New Roman"/>
        <family val="1"/>
        <charset val="204"/>
      </rPr>
      <t>г. Чита, ул. Красной Звезды, д. 8</t>
    </r>
    <r>
      <rPr>
        <vertAlign val="superscript"/>
        <sz val="11"/>
        <rFont val="Times New Roman"/>
        <family val="1"/>
        <charset val="204"/>
      </rPr>
      <t>(7)</t>
    </r>
  </si>
  <si>
    <r>
      <rPr>
        <sz val="11"/>
        <rFont val="Times New Roman"/>
        <family val="1"/>
        <charset val="204"/>
      </rPr>
      <t>г. Чита, ул. Крымская, д. 10</t>
    </r>
    <r>
      <rPr>
        <vertAlign val="superscript"/>
        <sz val="11"/>
        <rFont val="Times New Roman"/>
        <family val="1"/>
        <charset val="204"/>
      </rPr>
      <t>(7)</t>
    </r>
  </si>
  <si>
    <r>
      <rPr>
        <sz val="11"/>
        <rFont val="Times New Roman"/>
        <family val="1"/>
        <charset val="204"/>
      </rPr>
      <t>г. Чита, ул. Крымская, д. 21</t>
    </r>
    <r>
      <rPr>
        <vertAlign val="superscript"/>
        <sz val="11"/>
        <rFont val="Times New Roman"/>
        <family val="1"/>
        <charset val="204"/>
      </rPr>
      <t>(9,10)</t>
    </r>
  </si>
  <si>
    <r>
      <rPr>
        <sz val="11"/>
        <rFont val="Times New Roman"/>
        <family val="1"/>
        <charset val="204"/>
      </rPr>
      <t>г. Чита, ул. Крымская, д. 8</t>
    </r>
    <r>
      <rPr>
        <vertAlign val="superscript"/>
        <sz val="11"/>
        <rFont val="Times New Roman"/>
        <family val="1"/>
        <charset val="204"/>
      </rPr>
      <t>(7)</t>
    </r>
  </si>
  <si>
    <r>
      <rPr>
        <sz val="11"/>
        <rFont val="Times New Roman"/>
        <family val="1"/>
        <charset val="204"/>
      </rPr>
      <t>г. Чита, ул. Лазо, д. 65</t>
    </r>
    <r>
      <rPr>
        <vertAlign val="superscript"/>
        <sz val="11"/>
        <rFont val="Times New Roman"/>
        <family val="1"/>
        <charset val="204"/>
      </rPr>
      <t>(1/1)</t>
    </r>
  </si>
  <si>
    <r>
      <rPr>
        <sz val="11"/>
        <rFont val="Times New Roman"/>
        <family val="1"/>
        <charset val="204"/>
      </rPr>
      <t>г. Чита, ул. Ленина, д. 21а</t>
    </r>
    <r>
      <rPr>
        <vertAlign val="superscript"/>
        <sz val="11"/>
        <rFont val="Times New Roman"/>
        <family val="1"/>
        <charset val="204"/>
      </rPr>
      <t>(5)</t>
    </r>
  </si>
  <si>
    <r>
      <rPr>
        <sz val="11"/>
        <rFont val="Times New Roman"/>
        <family val="1"/>
        <charset val="204"/>
      </rPr>
      <t>г. Чита, ул. Ленина, д. 25</t>
    </r>
    <r>
      <rPr>
        <vertAlign val="superscript"/>
        <sz val="11"/>
        <rFont val="Times New Roman"/>
        <family val="1"/>
        <charset val="204"/>
      </rPr>
      <t>(5)</t>
    </r>
  </si>
  <si>
    <r>
      <rPr>
        <sz val="11"/>
        <rFont val="Times New Roman"/>
        <family val="1"/>
        <charset val="204"/>
      </rPr>
      <t>г. Чита, ул. Ленина, д. 52</t>
    </r>
    <r>
      <rPr>
        <vertAlign val="superscript"/>
        <sz val="11"/>
        <rFont val="Times New Roman"/>
        <family val="1"/>
        <charset val="204"/>
      </rPr>
      <t>(1,2)</t>
    </r>
  </si>
  <si>
    <r>
      <rPr>
        <sz val="11"/>
        <rFont val="Times New Roman"/>
        <family val="1"/>
        <charset val="204"/>
      </rPr>
      <t>г. Чита, ул. Ленина, д. 9</t>
    </r>
    <r>
      <rPr>
        <vertAlign val="superscript"/>
        <sz val="11"/>
        <rFont val="Times New Roman"/>
        <family val="1"/>
        <charset val="204"/>
      </rPr>
      <t>(4)</t>
    </r>
  </si>
  <si>
    <r>
      <rPr>
        <sz val="11"/>
        <rFont val="Times New Roman"/>
        <family val="1"/>
        <charset val="204"/>
      </rPr>
      <t>г. Чита, ул. Майская, д. 24</t>
    </r>
    <r>
      <rPr>
        <vertAlign val="superscript"/>
        <sz val="11"/>
        <rFont val="Times New Roman"/>
        <family val="1"/>
        <charset val="204"/>
      </rPr>
      <t>(4)</t>
    </r>
  </si>
  <si>
    <r>
      <rPr>
        <sz val="11"/>
        <rFont val="Times New Roman"/>
        <family val="1"/>
        <charset val="204"/>
      </rPr>
      <t>г. Чита, ул. Мостовая, д. 7</t>
    </r>
    <r>
      <rPr>
        <vertAlign val="superscript"/>
        <sz val="11"/>
        <rFont val="Times New Roman"/>
        <family val="1"/>
        <charset val="204"/>
      </rPr>
      <t>(10)</t>
    </r>
  </si>
  <si>
    <r>
      <rPr>
        <sz val="11"/>
        <rFont val="Times New Roman"/>
        <family val="1"/>
        <charset val="204"/>
      </rPr>
      <t>г. Чита, ул. Набережная, д. 56</t>
    </r>
    <r>
      <rPr>
        <vertAlign val="superscript"/>
        <sz val="11"/>
        <rFont val="Times New Roman"/>
        <family val="1"/>
        <charset val="204"/>
      </rPr>
      <t>(1)</t>
    </r>
  </si>
  <si>
    <r>
      <rPr>
        <sz val="11"/>
        <rFont val="Times New Roman"/>
        <family val="1"/>
        <charset val="204"/>
      </rPr>
      <t>г. Чита, ул. Нерчинская, д. 1</t>
    </r>
    <r>
      <rPr>
        <vertAlign val="superscript"/>
        <sz val="11"/>
        <rFont val="Times New Roman"/>
        <family val="1"/>
        <charset val="204"/>
      </rPr>
      <t>(1)</t>
    </r>
  </si>
  <si>
    <r>
      <rPr>
        <sz val="11"/>
        <rFont val="Times New Roman"/>
        <family val="1"/>
        <charset val="204"/>
      </rPr>
      <t>г. Чита, ул. Николая Островского, д. 20</t>
    </r>
    <r>
      <rPr>
        <vertAlign val="superscript"/>
        <sz val="11"/>
        <rFont val="Times New Roman"/>
        <family val="1"/>
        <charset val="204"/>
      </rPr>
      <t>(1,2)</t>
    </r>
  </si>
  <si>
    <r>
      <rPr>
        <sz val="11"/>
        <rFont val="Times New Roman"/>
        <family val="1"/>
        <charset val="204"/>
      </rPr>
      <t>г. Чита, ул. Новобульварная, д. 113</t>
    </r>
    <r>
      <rPr>
        <vertAlign val="superscript"/>
        <sz val="11"/>
        <rFont val="Times New Roman"/>
        <family val="1"/>
        <charset val="204"/>
      </rPr>
      <t>(4,5)</t>
    </r>
  </si>
  <si>
    <r>
      <rPr>
        <sz val="11"/>
        <rFont val="Times New Roman"/>
        <family val="1"/>
        <charset val="204"/>
      </rPr>
      <t>г. Чита, ул. Печорская, д. 1</t>
    </r>
    <r>
      <rPr>
        <vertAlign val="superscript"/>
        <sz val="11"/>
        <rFont val="Times New Roman"/>
        <family val="1"/>
        <charset val="204"/>
      </rPr>
      <t>(9,10)</t>
    </r>
  </si>
  <si>
    <r>
      <rPr>
        <sz val="11"/>
        <rFont val="Times New Roman"/>
        <family val="1"/>
        <charset val="204"/>
      </rPr>
      <t>г. Чита, ул. Пригородная, д. 2</t>
    </r>
    <r>
      <rPr>
        <vertAlign val="superscript"/>
        <sz val="11"/>
        <rFont val="Times New Roman"/>
        <family val="1"/>
        <charset val="204"/>
      </rPr>
      <t>(1,5)</t>
    </r>
  </si>
  <si>
    <r>
      <rPr>
        <sz val="11"/>
        <rFont val="Times New Roman"/>
        <family val="1"/>
        <charset val="204"/>
      </rPr>
      <t>г. Чита, ул. Промышленная, д. 51а</t>
    </r>
    <r>
      <rPr>
        <vertAlign val="superscript"/>
        <sz val="11"/>
        <rFont val="Times New Roman"/>
        <family val="1"/>
        <charset val="204"/>
      </rPr>
      <t>(1,2,4)</t>
    </r>
  </si>
  <si>
    <r>
      <rPr>
        <sz val="11"/>
        <rFont val="Times New Roman"/>
        <family val="1"/>
        <charset val="204"/>
      </rPr>
      <t>г. Чита, ул. Серова, д. 1</t>
    </r>
    <r>
      <rPr>
        <vertAlign val="superscript"/>
        <sz val="11"/>
        <rFont val="Times New Roman"/>
        <family val="1"/>
        <charset val="204"/>
      </rPr>
      <t>(9,10)</t>
    </r>
  </si>
  <si>
    <r>
      <rPr>
        <sz val="11"/>
        <rFont val="Times New Roman"/>
        <family val="1"/>
        <charset val="204"/>
      </rPr>
      <t>г. Чита, ул. Смоленская, д. 119</t>
    </r>
    <r>
      <rPr>
        <vertAlign val="superscript"/>
        <sz val="11"/>
        <rFont val="Times New Roman"/>
        <family val="1"/>
        <charset val="204"/>
      </rPr>
      <t>(7)</t>
    </r>
  </si>
  <si>
    <r>
      <rPr>
        <sz val="11"/>
        <rFont val="Times New Roman"/>
        <family val="1"/>
        <charset val="204"/>
      </rPr>
      <t>г. Чита, ул. Смоленская, д. 123</t>
    </r>
    <r>
      <rPr>
        <vertAlign val="superscript"/>
        <sz val="11"/>
        <rFont val="Times New Roman"/>
        <family val="1"/>
        <charset val="204"/>
      </rPr>
      <t>(7)</t>
    </r>
  </si>
  <si>
    <r>
      <rPr>
        <sz val="11"/>
        <rFont val="Times New Roman"/>
        <family val="1"/>
        <charset val="204"/>
      </rPr>
      <t>г. Чита, ул. Столярова, д. 23</t>
    </r>
    <r>
      <rPr>
        <vertAlign val="superscript"/>
        <sz val="11"/>
        <rFont val="Times New Roman"/>
        <family val="1"/>
        <charset val="204"/>
      </rPr>
      <t>(1,2)</t>
    </r>
  </si>
  <si>
    <r>
      <rPr>
        <sz val="11"/>
        <rFont val="Times New Roman"/>
        <family val="1"/>
        <charset val="204"/>
      </rPr>
      <t>г. Чита, ул. Столярова, д. 42</t>
    </r>
    <r>
      <rPr>
        <vertAlign val="superscript"/>
        <sz val="11"/>
        <rFont val="Times New Roman"/>
        <family val="1"/>
        <charset val="204"/>
      </rPr>
      <t>(9)</t>
    </r>
  </si>
  <si>
    <r>
      <rPr>
        <sz val="11"/>
        <rFont val="Times New Roman"/>
        <family val="1"/>
        <charset val="204"/>
      </rPr>
      <t>г. Чита, ул. Столярова, д. 44</t>
    </r>
    <r>
      <rPr>
        <vertAlign val="superscript"/>
        <sz val="11"/>
        <rFont val="Times New Roman"/>
        <family val="1"/>
        <charset val="204"/>
      </rPr>
      <t>(4)</t>
    </r>
  </si>
  <si>
    <r>
      <rPr>
        <sz val="11"/>
        <rFont val="Times New Roman"/>
        <family val="1"/>
        <charset val="204"/>
      </rPr>
      <t>г. Чита, ул. Столярова, д. 65</t>
    </r>
    <r>
      <rPr>
        <vertAlign val="superscript"/>
        <sz val="11"/>
        <rFont val="Times New Roman"/>
        <family val="1"/>
        <charset val="204"/>
      </rPr>
      <t>(2)</t>
    </r>
  </si>
  <si>
    <r>
      <rPr>
        <sz val="11"/>
        <rFont val="Times New Roman"/>
        <family val="1"/>
        <charset val="204"/>
      </rPr>
      <t>г. Чита, ул. Таежная, д. 20</t>
    </r>
    <r>
      <rPr>
        <vertAlign val="superscript"/>
        <sz val="11"/>
        <rFont val="Times New Roman"/>
        <family val="1"/>
        <charset val="204"/>
      </rPr>
      <t>(8,9)</t>
    </r>
  </si>
  <si>
    <r>
      <rPr>
        <sz val="11"/>
        <rFont val="Times New Roman"/>
        <family val="1"/>
        <charset val="204"/>
      </rPr>
      <t>г. Чита, ул. Текстильщиков, д. 12</t>
    </r>
    <r>
      <rPr>
        <vertAlign val="superscript"/>
        <sz val="11"/>
        <rFont val="Times New Roman"/>
        <family val="1"/>
        <charset val="204"/>
      </rPr>
      <t>(1,4,5)</t>
    </r>
  </si>
  <si>
    <r>
      <rPr>
        <sz val="11"/>
        <rFont val="Times New Roman"/>
        <family val="1"/>
        <charset val="204"/>
      </rPr>
      <t>г. Чита, ул. Тобольская, д. 2а, корп. 1</t>
    </r>
    <r>
      <rPr>
        <vertAlign val="superscript"/>
        <sz val="11"/>
        <rFont val="Times New Roman"/>
        <family val="1"/>
        <charset val="204"/>
      </rPr>
      <t>(1,4,5,8)</t>
    </r>
  </si>
  <si>
    <r>
      <rPr>
        <sz val="11"/>
        <rFont val="Times New Roman"/>
        <family val="1"/>
        <charset val="204"/>
      </rPr>
      <t>г. Чита, ул. Тобольская, д. 2а, корп. 2</t>
    </r>
    <r>
      <rPr>
        <vertAlign val="superscript"/>
        <sz val="11"/>
        <rFont val="Times New Roman"/>
        <family val="1"/>
        <charset val="204"/>
      </rPr>
      <t>(1,4,5)</t>
    </r>
  </si>
  <si>
    <r>
      <rPr>
        <sz val="11"/>
        <rFont val="Times New Roman"/>
        <family val="1"/>
        <charset val="204"/>
      </rPr>
      <t>г. Чита, ул. Токмакова, д. 23</t>
    </r>
    <r>
      <rPr>
        <vertAlign val="superscript"/>
        <sz val="11"/>
        <rFont val="Times New Roman"/>
        <family val="1"/>
        <charset val="204"/>
      </rPr>
      <t>(1)</t>
    </r>
  </si>
  <si>
    <r>
      <rPr>
        <sz val="11"/>
        <rFont val="Times New Roman"/>
        <family val="1"/>
        <charset val="204"/>
      </rPr>
      <t>г. Чита, ул. Токмакова, д. 23а</t>
    </r>
    <r>
      <rPr>
        <vertAlign val="superscript"/>
        <sz val="11"/>
        <rFont val="Times New Roman"/>
        <family val="1"/>
        <charset val="204"/>
      </rPr>
      <t>(9,10)</t>
    </r>
  </si>
  <si>
    <r>
      <rPr>
        <sz val="11"/>
        <rFont val="Times New Roman"/>
        <family val="1"/>
        <charset val="204"/>
      </rPr>
      <t>г. Чита, ул. Токмакова, д. 27а</t>
    </r>
    <r>
      <rPr>
        <vertAlign val="superscript"/>
        <sz val="11"/>
        <rFont val="Times New Roman"/>
        <family val="1"/>
        <charset val="204"/>
      </rPr>
      <t>(9,10)</t>
    </r>
  </si>
  <si>
    <r>
      <rPr>
        <sz val="11"/>
        <rFont val="Times New Roman"/>
        <family val="1"/>
        <charset val="204"/>
      </rPr>
      <t>г. Чита, ул. Угданская, д. 59</t>
    </r>
    <r>
      <rPr>
        <vertAlign val="superscript"/>
        <sz val="11"/>
        <rFont val="Times New Roman"/>
        <family val="1"/>
        <charset val="204"/>
      </rPr>
      <t>(7)</t>
    </r>
  </si>
  <si>
    <r>
      <rPr>
        <sz val="11"/>
        <rFont val="Times New Roman"/>
        <family val="1"/>
        <charset val="204"/>
      </rPr>
      <t>г. Чита, ул. Хабаровская, д. 4</t>
    </r>
    <r>
      <rPr>
        <vertAlign val="superscript"/>
        <sz val="11"/>
        <rFont val="Times New Roman"/>
        <family val="1"/>
        <charset val="204"/>
      </rPr>
      <t>(7)</t>
    </r>
  </si>
  <si>
    <r>
      <rPr>
        <sz val="11"/>
        <rFont val="Times New Roman"/>
        <family val="1"/>
        <charset val="204"/>
      </rPr>
      <t>г. Чита, ул. Чкалова, д. 1</t>
    </r>
    <r>
      <rPr>
        <vertAlign val="superscript"/>
        <sz val="11"/>
        <rFont val="Times New Roman"/>
        <family val="1"/>
        <charset val="204"/>
      </rPr>
      <t>(4,5,8,9,10)</t>
    </r>
    <r>
      <rPr>
        <sz val="11"/>
        <rFont val="Times New Roman"/>
        <family val="1"/>
        <charset val="204"/>
      </rPr>
      <t xml:space="preserve"> </t>
    </r>
  </si>
  <si>
    <r>
      <rPr>
        <sz val="11"/>
        <rFont val="Times New Roman"/>
        <family val="1"/>
        <charset val="204"/>
      </rPr>
      <t>г. Чита, ул. Чкалова, д. 25</t>
    </r>
    <r>
      <rPr>
        <vertAlign val="superscript"/>
        <sz val="11"/>
        <rFont val="Times New Roman"/>
        <family val="1"/>
        <charset val="204"/>
      </rPr>
      <t>(7)</t>
    </r>
  </si>
  <si>
    <r>
      <rPr>
        <sz val="11"/>
        <rFont val="Times New Roman"/>
        <family val="1"/>
        <charset val="204"/>
      </rPr>
      <t>г. Чита, ул. Шилова, д. 29</t>
    </r>
    <r>
      <rPr>
        <vertAlign val="superscript"/>
        <sz val="11"/>
        <rFont val="Times New Roman"/>
        <family val="1"/>
        <charset val="204"/>
      </rPr>
      <t>(7)</t>
    </r>
  </si>
  <si>
    <r>
      <rPr>
        <sz val="11"/>
        <rFont val="Times New Roman"/>
        <family val="1"/>
        <charset val="204"/>
      </rPr>
      <t>г. Чита, ул. Энтузиастов, д. 11</t>
    </r>
    <r>
      <rPr>
        <vertAlign val="superscript"/>
        <sz val="11"/>
        <rFont val="Times New Roman"/>
        <family val="1"/>
        <charset val="204"/>
      </rPr>
      <t>(1)</t>
    </r>
  </si>
  <si>
    <r>
      <rPr>
        <sz val="11"/>
        <rFont val="Times New Roman"/>
        <family val="1"/>
        <charset val="204"/>
      </rPr>
      <t>пгт. Новоорловск, д. 21</t>
    </r>
    <r>
      <rPr>
        <vertAlign val="superscript"/>
        <sz val="11"/>
        <rFont val="Times New Roman"/>
        <family val="1"/>
        <charset val="204"/>
      </rPr>
      <t xml:space="preserve"> (5)</t>
    </r>
  </si>
  <si>
    <r>
      <rPr>
        <sz val="11"/>
        <rFont val="Times New Roman"/>
        <family val="1"/>
        <charset val="204"/>
      </rPr>
      <t>пгт. Новоорловск, д. 7</t>
    </r>
    <r>
      <rPr>
        <vertAlign val="superscript"/>
        <sz val="11"/>
        <rFont val="Times New Roman"/>
        <family val="1"/>
        <charset val="204"/>
      </rPr>
      <t>(8,10)</t>
    </r>
  </si>
  <si>
    <r>
      <rPr>
        <sz val="11"/>
        <rFont val="Times New Roman"/>
        <family val="1"/>
        <charset val="204"/>
      </rPr>
      <t>г. Балей, кв-л А, д. 3</t>
    </r>
    <r>
      <rPr>
        <vertAlign val="superscript"/>
        <sz val="11"/>
        <rFont val="Times New Roman"/>
        <family val="1"/>
        <charset val="204"/>
      </rPr>
      <t>(1,4,5,9)</t>
    </r>
  </si>
  <si>
    <r>
      <rPr>
        <sz val="11"/>
        <rFont val="Times New Roman"/>
        <family val="1"/>
        <charset val="204"/>
      </rPr>
      <t>г. Балей, ул. Больничная, д. 1</t>
    </r>
    <r>
      <rPr>
        <vertAlign val="superscript"/>
        <sz val="11"/>
        <rFont val="Times New Roman"/>
        <family val="1"/>
        <charset val="204"/>
      </rPr>
      <t>(5)</t>
    </r>
  </si>
  <si>
    <r>
      <rPr>
        <sz val="11"/>
        <rFont val="Times New Roman"/>
        <family val="1"/>
        <charset val="204"/>
      </rPr>
      <t>г. Балей, ул. Комбинатская, д. 6</t>
    </r>
    <r>
      <rPr>
        <vertAlign val="superscript"/>
        <sz val="11"/>
        <rFont val="Times New Roman"/>
        <family val="1"/>
        <charset val="204"/>
      </rPr>
      <t>(10)</t>
    </r>
  </si>
  <si>
    <r>
      <rPr>
        <sz val="11"/>
        <rFont val="Times New Roman"/>
        <family val="1"/>
        <charset val="204"/>
      </rPr>
      <t>г. Балей, ул. Октябрьская, д. 100</t>
    </r>
    <r>
      <rPr>
        <vertAlign val="superscript"/>
        <sz val="11"/>
        <rFont val="Times New Roman"/>
        <family val="1"/>
        <charset val="204"/>
      </rPr>
      <t>(1)</t>
    </r>
  </si>
  <si>
    <r>
      <rPr>
        <sz val="11"/>
        <rFont val="Times New Roman"/>
        <family val="1"/>
        <charset val="204"/>
      </rPr>
      <t>г. Балей, ул. Октябрьская, д. 102</t>
    </r>
    <r>
      <rPr>
        <vertAlign val="superscript"/>
        <sz val="11"/>
        <rFont val="Times New Roman"/>
        <family val="1"/>
        <charset val="204"/>
      </rPr>
      <t>(1)</t>
    </r>
  </si>
  <si>
    <r>
      <rPr>
        <sz val="11"/>
        <rFont val="Times New Roman"/>
        <family val="1"/>
        <charset val="204"/>
      </rPr>
      <t>г. Балей, ул. Октябрьская, д. 117</t>
    </r>
    <r>
      <rPr>
        <vertAlign val="superscript"/>
        <sz val="11"/>
        <rFont val="Times New Roman"/>
        <family val="1"/>
        <charset val="204"/>
      </rPr>
      <t>(1)</t>
    </r>
  </si>
  <si>
    <r>
      <rPr>
        <sz val="11"/>
        <rFont val="Times New Roman"/>
        <family val="1"/>
        <charset val="204"/>
      </rPr>
      <t>г. Борзя, ул. Метелицы, д. 30</t>
    </r>
    <r>
      <rPr>
        <vertAlign val="superscript"/>
        <sz val="11"/>
        <rFont val="Times New Roman"/>
        <family val="1"/>
        <charset val="204"/>
      </rPr>
      <t>(4,9,10)</t>
    </r>
  </si>
  <si>
    <r>
      <rPr>
        <sz val="11"/>
        <rFont val="Times New Roman"/>
        <family val="1"/>
        <charset val="204"/>
      </rPr>
      <t>г. Борзя, ул. Нагорная, д. 12</t>
    </r>
    <r>
      <rPr>
        <vertAlign val="superscript"/>
        <sz val="11"/>
        <rFont val="Times New Roman"/>
        <family val="1"/>
        <charset val="204"/>
      </rPr>
      <t>(2,4)</t>
    </r>
  </si>
  <si>
    <r>
      <rPr>
        <sz val="11"/>
        <rFont val="Times New Roman"/>
        <family val="1"/>
        <charset val="204"/>
      </rPr>
      <t>г. Борзя, ул. Советская, д. 30</t>
    </r>
    <r>
      <rPr>
        <vertAlign val="superscript"/>
        <sz val="11"/>
        <rFont val="Times New Roman"/>
        <family val="1"/>
        <charset val="204"/>
      </rPr>
      <t>(10)</t>
    </r>
  </si>
  <si>
    <r>
      <rPr>
        <sz val="11"/>
        <rFont val="Times New Roman"/>
        <family val="1"/>
        <charset val="204"/>
      </rPr>
      <t>г. Борзя, ул. Чайковского, д. 9</t>
    </r>
    <r>
      <rPr>
        <vertAlign val="superscript"/>
        <sz val="11"/>
        <rFont val="Times New Roman"/>
        <family val="1"/>
        <charset val="204"/>
      </rPr>
      <t>(4)</t>
    </r>
  </si>
  <si>
    <r>
      <rPr>
        <sz val="11"/>
        <rFont val="Times New Roman"/>
        <family val="1"/>
        <charset val="204"/>
      </rPr>
      <t>п. Новоширокинский, д. 2</t>
    </r>
    <r>
      <rPr>
        <vertAlign val="superscript"/>
        <sz val="11"/>
        <rFont val="Times New Roman"/>
        <family val="1"/>
        <charset val="204"/>
      </rPr>
      <t>(2)</t>
    </r>
  </si>
  <si>
    <r>
      <rPr>
        <sz val="11"/>
        <rFont val="Times New Roman"/>
        <family val="1"/>
        <charset val="204"/>
      </rPr>
      <t>п. Новоширокинский, д. 10</t>
    </r>
    <r>
      <rPr>
        <vertAlign val="superscript"/>
        <sz val="11"/>
        <rFont val="Times New Roman"/>
        <family val="1"/>
        <charset val="204"/>
      </rPr>
      <t>(2)</t>
    </r>
  </si>
  <si>
    <r>
      <rPr>
        <sz val="11"/>
        <rFont val="Times New Roman"/>
        <family val="1"/>
        <charset val="204"/>
      </rPr>
      <t>п. Новоширокинский, д. 12</t>
    </r>
    <r>
      <rPr>
        <vertAlign val="superscript"/>
        <sz val="11"/>
        <rFont val="Times New Roman"/>
        <family val="1"/>
        <charset val="204"/>
      </rPr>
      <t>(2)</t>
    </r>
  </si>
  <si>
    <r>
      <rPr>
        <sz val="11"/>
        <rFont val="Times New Roman"/>
        <family val="1"/>
        <charset val="204"/>
      </rPr>
      <t>п. Новоширокинский, д. 9</t>
    </r>
    <r>
      <rPr>
        <vertAlign val="superscript"/>
        <sz val="11"/>
        <rFont val="Times New Roman"/>
        <family val="1"/>
        <charset val="204"/>
      </rPr>
      <t>(2)</t>
    </r>
  </si>
  <si>
    <r>
      <rPr>
        <sz val="11"/>
        <rFont val="Times New Roman"/>
        <family val="1"/>
        <charset val="204"/>
      </rPr>
      <t>пгт. Забайкальск, ул. Комсомольская, д. 1</t>
    </r>
    <r>
      <rPr>
        <vertAlign val="superscript"/>
        <sz val="11"/>
        <rFont val="Times New Roman"/>
        <family val="1"/>
        <charset val="204"/>
      </rPr>
      <t>(1,5)</t>
    </r>
  </si>
  <si>
    <r>
      <rPr>
        <sz val="11"/>
        <rFont val="Times New Roman"/>
        <family val="1"/>
        <charset val="204"/>
      </rPr>
      <t>пгт. Забайкальск, ул. Комсомольская, д. 56а</t>
    </r>
    <r>
      <rPr>
        <vertAlign val="superscript"/>
        <sz val="11"/>
        <rFont val="Times New Roman"/>
        <family val="1"/>
        <charset val="204"/>
      </rPr>
      <t>(4)</t>
    </r>
  </si>
  <si>
    <r>
      <rPr>
        <sz val="11"/>
        <rFont val="Times New Roman"/>
        <family val="1"/>
        <charset val="204"/>
      </rPr>
      <t>пгт. Забайкальск, ул. Нагорная, д. 7</t>
    </r>
    <r>
      <rPr>
        <vertAlign val="superscript"/>
        <sz val="11"/>
        <rFont val="Times New Roman"/>
        <family val="1"/>
        <charset val="204"/>
      </rPr>
      <t>(9)</t>
    </r>
  </si>
  <si>
    <r>
      <rPr>
        <sz val="11"/>
        <rFont val="Times New Roman"/>
        <family val="1"/>
        <charset val="204"/>
      </rPr>
      <t>пгт. Новая Чара, ул. Магистральная, д. 28</t>
    </r>
    <r>
      <rPr>
        <vertAlign val="superscript"/>
        <sz val="11"/>
        <rFont val="Times New Roman"/>
        <family val="1"/>
        <charset val="204"/>
      </rPr>
      <t>(5,8,9)</t>
    </r>
  </si>
  <si>
    <r>
      <rPr>
        <sz val="11"/>
        <rFont val="Times New Roman"/>
        <family val="1"/>
        <charset val="204"/>
      </rPr>
      <t>п/ст Куанда, ул. 8 Марта, д. 7</t>
    </r>
    <r>
      <rPr>
        <vertAlign val="superscript"/>
        <sz val="11"/>
        <rFont val="Times New Roman"/>
        <family val="1"/>
        <charset val="204"/>
      </rPr>
      <t>(1,5)</t>
    </r>
  </si>
  <si>
    <r>
      <rPr>
        <sz val="11"/>
        <rFont val="Times New Roman"/>
        <family val="1"/>
        <charset val="204"/>
      </rPr>
      <t>п/ст Куанда, ул. Советская, д. 12а</t>
    </r>
    <r>
      <rPr>
        <vertAlign val="superscript"/>
        <sz val="11"/>
        <rFont val="Times New Roman"/>
        <family val="1"/>
        <charset val="204"/>
      </rPr>
      <t>(1,5)</t>
    </r>
  </si>
  <si>
    <r>
      <rPr>
        <sz val="11"/>
        <rFont val="Times New Roman"/>
        <family val="1"/>
        <charset val="204"/>
      </rPr>
      <t>с. Калга, ул. 60 лет Октября, д. 13</t>
    </r>
    <r>
      <rPr>
        <vertAlign val="superscript"/>
        <sz val="11"/>
        <rFont val="Times New Roman"/>
        <family val="1"/>
        <charset val="204"/>
      </rPr>
      <t>(9)</t>
    </r>
  </si>
  <si>
    <r>
      <rPr>
        <sz val="11"/>
        <rFont val="Times New Roman"/>
        <family val="1"/>
        <charset val="204"/>
      </rPr>
      <t>с. Калга, ул. 60 лет Октября, д. 19</t>
    </r>
    <r>
      <rPr>
        <vertAlign val="superscript"/>
        <sz val="11"/>
        <rFont val="Times New Roman"/>
        <family val="1"/>
        <charset val="204"/>
      </rPr>
      <t>(9)</t>
    </r>
  </si>
  <si>
    <r>
      <rPr>
        <sz val="11"/>
        <rFont val="Times New Roman"/>
        <family val="1"/>
        <charset val="204"/>
      </rPr>
      <t>пгт. Дарасун, ул. Калинина, д. 16</t>
    </r>
    <r>
      <rPr>
        <vertAlign val="superscript"/>
        <sz val="11"/>
        <rFont val="Times New Roman"/>
        <family val="1"/>
        <charset val="204"/>
      </rPr>
      <t>(10)</t>
    </r>
  </si>
  <si>
    <r>
      <rPr>
        <sz val="11"/>
        <rFont val="Times New Roman"/>
        <family val="1"/>
        <charset val="204"/>
      </rPr>
      <t xml:space="preserve"> пгт. Дарасун, ул. Молодежная, д. 6</t>
    </r>
    <r>
      <rPr>
        <vertAlign val="superscript"/>
        <sz val="11"/>
        <rFont val="Times New Roman"/>
        <family val="1"/>
        <charset val="204"/>
      </rPr>
      <t>(5)</t>
    </r>
  </si>
  <si>
    <t xml:space="preserve"> пгт. Дарасун, ул. Советская, д. 2</t>
  </si>
  <si>
    <r>
      <rPr>
        <sz val="11"/>
        <rFont val="Times New Roman"/>
        <family val="1"/>
        <charset val="204"/>
      </rPr>
      <t>пгт. Дарасун, ул. Сосновая, д. 1</t>
    </r>
    <r>
      <rPr>
        <vertAlign val="superscript"/>
        <sz val="11"/>
        <rFont val="Times New Roman"/>
        <family val="1"/>
        <charset val="204"/>
      </rPr>
      <t>(5)</t>
    </r>
  </si>
  <si>
    <r>
      <rPr>
        <sz val="11"/>
        <rFont val="Times New Roman"/>
        <family val="1"/>
        <charset val="204"/>
      </rPr>
      <t>пгт. Карымское, ул. Верхняя, д. 7</t>
    </r>
    <r>
      <rPr>
        <vertAlign val="superscript"/>
        <sz val="11"/>
        <rFont val="Times New Roman"/>
        <family val="1"/>
        <charset val="204"/>
      </rPr>
      <t>(4)</t>
    </r>
  </si>
  <si>
    <r>
      <rPr>
        <sz val="11"/>
        <rFont val="Times New Roman"/>
        <family val="1"/>
        <charset val="204"/>
      </rPr>
      <t>пгт. Карымское, ул. Шемелина, д. 1</t>
    </r>
    <r>
      <rPr>
        <vertAlign val="superscript"/>
        <sz val="11"/>
        <rFont val="Times New Roman"/>
        <family val="1"/>
        <charset val="204"/>
      </rPr>
      <t>(4)</t>
    </r>
  </si>
  <si>
    <r>
      <rPr>
        <sz val="11"/>
        <rFont val="Times New Roman"/>
        <family val="1"/>
        <charset val="204"/>
      </rPr>
      <t>пгт. Курорт-Дарасун, ул. Военный санаторий, д. 3</t>
    </r>
    <r>
      <rPr>
        <vertAlign val="superscript"/>
        <sz val="11"/>
        <rFont val="Times New Roman"/>
        <family val="1"/>
        <charset val="204"/>
      </rPr>
      <t>(1,2,4,5,8)</t>
    </r>
  </si>
  <si>
    <r>
      <rPr>
        <sz val="11"/>
        <rFont val="Times New Roman"/>
        <family val="1"/>
        <charset val="204"/>
      </rPr>
      <t>пгт. Курорт-Дарасун, ул. Военный санаторий, д. 4</t>
    </r>
    <r>
      <rPr>
        <vertAlign val="superscript"/>
        <sz val="11"/>
        <rFont val="Times New Roman"/>
        <family val="1"/>
        <charset val="204"/>
      </rPr>
      <t>(1,2,4,5,8)</t>
    </r>
  </si>
  <si>
    <r>
      <rPr>
        <sz val="11"/>
        <rFont val="Times New Roman"/>
        <family val="1"/>
        <charset val="204"/>
      </rPr>
      <t>с. Большая Тура, ул. Железнодорожная, д. 119</t>
    </r>
    <r>
      <rPr>
        <vertAlign val="superscript"/>
        <sz val="11"/>
        <rFont val="Times New Roman"/>
        <family val="1"/>
        <charset val="204"/>
      </rPr>
      <t>(1,2,4,8)</t>
    </r>
  </si>
  <si>
    <r>
      <rPr>
        <sz val="11"/>
        <rFont val="Times New Roman"/>
        <family val="1"/>
        <charset val="204"/>
      </rPr>
      <t>с. Большая Тура, ул. Железнодорожная, д. 120</t>
    </r>
    <r>
      <rPr>
        <vertAlign val="superscript"/>
        <sz val="11"/>
        <rFont val="Times New Roman"/>
        <family val="1"/>
        <charset val="204"/>
      </rPr>
      <t>(1,2,4,8)</t>
    </r>
  </si>
  <si>
    <r>
      <rPr>
        <sz val="11"/>
        <rFont val="Times New Roman"/>
        <family val="1"/>
        <charset val="204"/>
      </rPr>
      <t>с. Большая Тура, ул. Трактовая, д. 113</t>
    </r>
    <r>
      <rPr>
        <vertAlign val="superscript"/>
        <sz val="11"/>
        <rFont val="Times New Roman"/>
        <family val="1"/>
        <charset val="204"/>
      </rPr>
      <t>(1,2,4,8)</t>
    </r>
  </si>
  <si>
    <r>
      <rPr>
        <sz val="11"/>
        <rFont val="Times New Roman"/>
        <family val="1"/>
        <charset val="204"/>
      </rPr>
      <t>г. Краснокаменск, мкр. Центральный, д. 3ц</t>
    </r>
    <r>
      <rPr>
        <vertAlign val="superscript"/>
        <sz val="11"/>
        <rFont val="Times New Roman"/>
        <family val="1"/>
        <charset val="204"/>
      </rPr>
      <t>(7)</t>
    </r>
  </si>
  <si>
    <r>
      <rPr>
        <sz val="11"/>
        <rFont val="Times New Roman"/>
        <family val="1"/>
        <charset val="204"/>
      </rPr>
      <t>г. Краснокаменск, мкр. Центральный, д. 4ц</t>
    </r>
    <r>
      <rPr>
        <vertAlign val="superscript"/>
        <sz val="11"/>
        <rFont val="Times New Roman"/>
        <family val="1"/>
        <charset val="204"/>
      </rPr>
      <t>(7)</t>
    </r>
  </si>
  <si>
    <r>
      <rPr>
        <sz val="11"/>
        <rFont val="Times New Roman"/>
        <family val="1"/>
        <charset val="204"/>
      </rPr>
      <t>с. Маргуцек, ул. Губина, д. 44</t>
    </r>
    <r>
      <rPr>
        <vertAlign val="superscript"/>
        <sz val="11"/>
        <rFont val="Times New Roman"/>
        <family val="1"/>
        <charset val="204"/>
      </rPr>
      <t>(4)</t>
    </r>
  </si>
  <si>
    <r>
      <rPr>
        <sz val="11"/>
        <rFont val="Times New Roman"/>
        <family val="1"/>
        <charset val="204"/>
      </rPr>
      <t>с. Красный Чикой, ул. Первомайская, д. 76б</t>
    </r>
    <r>
      <rPr>
        <vertAlign val="superscript"/>
        <sz val="11"/>
        <rFont val="Times New Roman"/>
        <family val="1"/>
        <charset val="204"/>
      </rPr>
      <t>(2)</t>
    </r>
  </si>
  <si>
    <r>
      <rPr>
        <sz val="11"/>
        <rFont val="Times New Roman"/>
        <family val="1"/>
        <charset val="204"/>
      </rPr>
      <t>г. Нерчинск, ул. Декабристов, д. 7</t>
    </r>
    <r>
      <rPr>
        <vertAlign val="superscript"/>
        <sz val="11"/>
        <rFont val="Times New Roman"/>
        <family val="1"/>
        <charset val="204"/>
      </rPr>
      <t>(1/1)</t>
    </r>
  </si>
  <si>
    <r>
      <rPr>
        <sz val="11"/>
        <rFont val="Times New Roman"/>
        <family val="1"/>
        <charset val="204"/>
      </rPr>
      <t>г. Нерчинск, ул. Первомайская, д. 80</t>
    </r>
    <r>
      <rPr>
        <vertAlign val="superscript"/>
        <sz val="11"/>
        <rFont val="Times New Roman"/>
        <family val="1"/>
        <charset val="204"/>
      </rPr>
      <t>(4)</t>
    </r>
  </si>
  <si>
    <r>
      <rPr>
        <sz val="11"/>
        <rFont val="Times New Roman"/>
        <family val="1"/>
        <charset val="204"/>
      </rPr>
      <t>г. Нерчинск, ул. Строительная, д. 2</t>
    </r>
    <r>
      <rPr>
        <vertAlign val="superscript"/>
        <sz val="11"/>
        <rFont val="Times New Roman"/>
        <family val="1"/>
        <charset val="204"/>
      </rPr>
      <t>(1)</t>
    </r>
  </si>
  <si>
    <r>
      <rPr>
        <sz val="11"/>
        <rFont val="Times New Roman"/>
        <family val="1"/>
        <charset val="204"/>
      </rPr>
      <t>г. Нерчинск, ул. Студгородок, д. 3</t>
    </r>
    <r>
      <rPr>
        <vertAlign val="superscript"/>
        <sz val="11"/>
        <rFont val="Times New Roman"/>
        <family val="1"/>
        <charset val="204"/>
      </rPr>
      <t>(1,9,10)</t>
    </r>
  </si>
  <si>
    <r>
      <rPr>
        <sz val="11"/>
        <rFont val="Times New Roman"/>
        <family val="1"/>
        <charset val="204"/>
      </rPr>
      <t>г. Нерчинск, ул. Студгородок, д. 4</t>
    </r>
    <r>
      <rPr>
        <vertAlign val="superscript"/>
        <sz val="11"/>
        <rFont val="Times New Roman"/>
        <family val="1"/>
        <charset val="204"/>
      </rPr>
      <t>(4,5,9)</t>
    </r>
  </si>
  <si>
    <r>
      <rPr>
        <sz val="11"/>
        <rFont val="Times New Roman"/>
        <family val="1"/>
        <charset val="204"/>
      </rPr>
      <t>пгт. Оловянная, ул. Гагарина, д. 17</t>
    </r>
    <r>
      <rPr>
        <vertAlign val="superscript"/>
        <sz val="11"/>
        <rFont val="Times New Roman"/>
        <family val="1"/>
        <charset val="204"/>
      </rPr>
      <t>(1)</t>
    </r>
  </si>
  <si>
    <r>
      <rPr>
        <sz val="11"/>
        <rFont val="Times New Roman"/>
        <family val="1"/>
        <charset val="204"/>
      </rPr>
      <t>пгт. Оловянная, ул. Гагарина, д. 23</t>
    </r>
    <r>
      <rPr>
        <vertAlign val="superscript"/>
        <sz val="11"/>
        <rFont val="Times New Roman"/>
        <family val="1"/>
        <charset val="204"/>
      </rPr>
      <t>(5)</t>
    </r>
  </si>
  <si>
    <r>
      <rPr>
        <sz val="11"/>
        <rFont val="Times New Roman"/>
        <family val="1"/>
        <charset val="204"/>
      </rPr>
      <t>пгт. Оловянная, ул. Гагарина, д. 25</t>
    </r>
    <r>
      <rPr>
        <vertAlign val="superscript"/>
        <sz val="11"/>
        <rFont val="Times New Roman"/>
        <family val="1"/>
        <charset val="204"/>
      </rPr>
      <t>(2,4,5,9,10)</t>
    </r>
  </si>
  <si>
    <r>
      <rPr>
        <sz val="11"/>
        <rFont val="Times New Roman"/>
        <family val="1"/>
        <charset val="204"/>
      </rPr>
      <t>пгт. Оловянная, ул. Гагарина, д. 27</t>
    </r>
    <r>
      <rPr>
        <vertAlign val="superscript"/>
        <sz val="11"/>
        <rFont val="Times New Roman"/>
        <family val="1"/>
        <charset val="204"/>
      </rPr>
      <t>(1)</t>
    </r>
  </si>
  <si>
    <r>
      <rPr>
        <sz val="11"/>
        <rFont val="Times New Roman"/>
        <family val="1"/>
        <charset val="204"/>
      </rPr>
      <t>пгт. Оловянная, ул. Машиностроительная, д. 5</t>
    </r>
    <r>
      <rPr>
        <vertAlign val="superscript"/>
        <sz val="11"/>
        <rFont val="Times New Roman"/>
        <family val="1"/>
        <charset val="204"/>
      </rPr>
      <t>(4)</t>
    </r>
  </si>
  <si>
    <r>
      <rPr>
        <sz val="11"/>
        <rFont val="Times New Roman"/>
        <family val="1"/>
        <charset val="204"/>
      </rPr>
      <t>пгт. Оловянная, ул. Московская, д. 75</t>
    </r>
    <r>
      <rPr>
        <vertAlign val="superscript"/>
        <sz val="11"/>
        <rFont val="Times New Roman"/>
        <family val="1"/>
        <charset val="204"/>
      </rPr>
      <t>(1,4,5)</t>
    </r>
  </si>
  <si>
    <r>
      <rPr>
        <sz val="11"/>
        <rFont val="Times New Roman"/>
        <family val="1"/>
        <charset val="204"/>
      </rPr>
      <t>пгт. Ясногорск, мкр. Луговой, д. 5</t>
    </r>
    <r>
      <rPr>
        <vertAlign val="superscript"/>
        <sz val="11"/>
        <rFont val="Times New Roman"/>
        <family val="1"/>
        <charset val="204"/>
      </rPr>
      <t>(5,8)</t>
    </r>
  </si>
  <si>
    <r>
      <rPr>
        <sz val="11"/>
        <rFont val="Times New Roman"/>
        <family val="1"/>
        <charset val="204"/>
      </rPr>
      <t>пгт. Ясногорск, мкр. Советский, д. 3</t>
    </r>
    <r>
      <rPr>
        <vertAlign val="superscript"/>
        <sz val="11"/>
        <rFont val="Times New Roman"/>
        <family val="1"/>
        <charset val="204"/>
      </rPr>
      <t>(4)</t>
    </r>
  </si>
  <si>
    <r>
      <rPr>
        <sz val="11"/>
        <rFont val="Times New Roman"/>
        <family val="1"/>
        <charset val="204"/>
      </rPr>
      <t>п/ст. Ясная, пер. Солнечный, д. 2</t>
    </r>
    <r>
      <rPr>
        <vertAlign val="superscript"/>
        <sz val="11"/>
        <rFont val="Times New Roman"/>
        <family val="1"/>
        <charset val="204"/>
      </rPr>
      <t>(1)</t>
    </r>
  </si>
  <si>
    <r>
      <rPr>
        <sz val="11"/>
        <rFont val="Times New Roman"/>
        <family val="1"/>
        <charset val="204"/>
      </rPr>
      <t>п/ст. Ясная, ул. 50 лет Октября, д. 1</t>
    </r>
    <r>
      <rPr>
        <vertAlign val="superscript"/>
        <sz val="11"/>
        <rFont val="Times New Roman"/>
        <family val="1"/>
        <charset val="204"/>
      </rPr>
      <t>(1/1)</t>
    </r>
  </si>
  <si>
    <r>
      <rPr>
        <sz val="11"/>
        <rFont val="Times New Roman"/>
        <family val="1"/>
        <charset val="204"/>
      </rPr>
      <t>п/ст. Ясная, ул. 50 лет Октября, д. 2</t>
    </r>
    <r>
      <rPr>
        <vertAlign val="superscript"/>
        <sz val="11"/>
        <rFont val="Times New Roman"/>
        <family val="1"/>
        <charset val="204"/>
      </rPr>
      <t>(1/1)</t>
    </r>
  </si>
  <si>
    <r>
      <rPr>
        <sz val="11"/>
        <rFont val="Times New Roman"/>
        <family val="1"/>
        <charset val="204"/>
      </rPr>
      <t>п/ст. Ясная, ул. 50 лет Октября, д. 3</t>
    </r>
    <r>
      <rPr>
        <vertAlign val="superscript"/>
        <sz val="11"/>
        <rFont val="Times New Roman"/>
        <family val="1"/>
        <charset val="204"/>
      </rPr>
      <t>(1/1)</t>
    </r>
  </si>
  <si>
    <r>
      <rPr>
        <sz val="11"/>
        <rFont val="Times New Roman"/>
        <family val="1"/>
        <charset val="204"/>
      </rPr>
      <t>п/ст. Ясная, ул. 50 лет Октября, д. 5</t>
    </r>
    <r>
      <rPr>
        <vertAlign val="superscript"/>
        <sz val="11"/>
        <rFont val="Times New Roman"/>
        <family val="1"/>
        <charset val="204"/>
      </rPr>
      <t>(1/1)</t>
    </r>
  </si>
  <si>
    <r>
      <rPr>
        <sz val="11"/>
        <rFont val="Times New Roman"/>
        <family val="1"/>
        <charset val="204"/>
      </rPr>
      <t>п/ст. Ясная, ул. 50 лет Октября, д. 7</t>
    </r>
    <r>
      <rPr>
        <vertAlign val="superscript"/>
        <sz val="11"/>
        <rFont val="Times New Roman"/>
        <family val="1"/>
        <charset val="204"/>
      </rPr>
      <t>(1/1)</t>
    </r>
  </si>
  <si>
    <r>
      <rPr>
        <sz val="11"/>
        <rFont val="Times New Roman"/>
        <family val="1"/>
        <charset val="204"/>
      </rPr>
      <t>п/ст. Ясная, ул. Комсомольская, д. 1</t>
    </r>
    <r>
      <rPr>
        <vertAlign val="superscript"/>
        <sz val="11"/>
        <rFont val="Times New Roman"/>
        <family val="1"/>
        <charset val="204"/>
      </rPr>
      <t>(1/1)</t>
    </r>
  </si>
  <si>
    <r>
      <rPr>
        <sz val="11"/>
        <rFont val="Times New Roman"/>
        <family val="1"/>
        <charset val="204"/>
      </rPr>
      <t>п/ст. Ясная, ул. Комсомольская, д. 3</t>
    </r>
    <r>
      <rPr>
        <vertAlign val="superscript"/>
        <sz val="11"/>
        <rFont val="Times New Roman"/>
        <family val="1"/>
        <charset val="204"/>
      </rPr>
      <t>(1/1)</t>
    </r>
  </si>
  <si>
    <r>
      <rPr>
        <sz val="11"/>
        <rFont val="Times New Roman"/>
        <family val="1"/>
        <charset val="204"/>
      </rPr>
      <t>п/ст. Ясная, ул. Комсомольская, д. 5</t>
    </r>
    <r>
      <rPr>
        <vertAlign val="superscript"/>
        <sz val="11"/>
        <rFont val="Times New Roman"/>
        <family val="1"/>
        <charset val="204"/>
      </rPr>
      <t>(1/1)</t>
    </r>
  </si>
  <si>
    <r>
      <rPr>
        <sz val="11"/>
        <rFont val="Times New Roman"/>
        <family val="1"/>
        <charset val="204"/>
      </rPr>
      <t>п/ст. Ясная, ул. Мира, д. 4</t>
    </r>
    <r>
      <rPr>
        <vertAlign val="superscript"/>
        <sz val="11"/>
        <rFont val="Times New Roman"/>
        <family val="1"/>
        <charset val="204"/>
      </rPr>
      <t>(1)</t>
    </r>
  </si>
  <si>
    <r>
      <rPr>
        <sz val="11"/>
        <rFont val="Times New Roman"/>
        <family val="1"/>
        <charset val="204"/>
      </rPr>
      <t>г. Петровск-Забайкальский, ул. Ленина, д. 19а</t>
    </r>
    <r>
      <rPr>
        <vertAlign val="superscript"/>
        <sz val="11"/>
        <rFont val="Times New Roman"/>
        <family val="1"/>
        <charset val="204"/>
      </rPr>
      <t>(1)</t>
    </r>
  </si>
  <si>
    <r>
      <rPr>
        <sz val="11"/>
        <rFont val="Times New Roman"/>
        <family val="1"/>
        <charset val="204"/>
      </rPr>
      <t>г. Петровск-Забайкальский, ул. Ленина, д. 24</t>
    </r>
    <r>
      <rPr>
        <vertAlign val="superscript"/>
        <sz val="11"/>
        <rFont val="Times New Roman"/>
        <family val="1"/>
        <charset val="204"/>
      </rPr>
      <t>(5)</t>
    </r>
  </si>
  <si>
    <r>
      <rPr>
        <sz val="11"/>
        <rFont val="Times New Roman"/>
        <family val="1"/>
        <charset val="204"/>
      </rPr>
      <t>г. Петровск-Забайкальский, ул. Мысовая, д. 57</t>
    </r>
    <r>
      <rPr>
        <vertAlign val="superscript"/>
        <sz val="11"/>
        <rFont val="Times New Roman"/>
        <family val="1"/>
        <charset val="204"/>
      </rPr>
      <t>(1)</t>
    </r>
  </si>
  <si>
    <r>
      <rPr>
        <sz val="11"/>
        <rFont val="Times New Roman"/>
        <family val="1"/>
        <charset val="204"/>
      </rPr>
      <t>г. Петровск-Забайкальский, ул. Островского, д. 32г</t>
    </r>
    <r>
      <rPr>
        <vertAlign val="superscript"/>
        <sz val="11"/>
        <rFont val="Times New Roman"/>
        <family val="1"/>
        <charset val="204"/>
      </rPr>
      <t>(1)</t>
    </r>
  </si>
  <si>
    <r>
      <rPr>
        <sz val="11"/>
        <rFont val="Times New Roman"/>
        <family val="1"/>
        <charset val="204"/>
      </rPr>
      <t>г. Петровск-Забайкальский, ул. Спортивная, д. 8</t>
    </r>
    <r>
      <rPr>
        <vertAlign val="superscript"/>
        <sz val="11"/>
        <rFont val="Times New Roman"/>
        <family val="1"/>
        <charset val="204"/>
      </rPr>
      <t>(1)</t>
    </r>
  </si>
  <si>
    <r>
      <rPr>
        <sz val="11"/>
        <rFont val="Times New Roman"/>
        <family val="1"/>
        <charset val="204"/>
      </rPr>
      <t>г. Петровск-Забайкальский, ул. Спортивная, д. 23</t>
    </r>
    <r>
      <rPr>
        <vertAlign val="superscript"/>
        <sz val="11"/>
        <rFont val="Times New Roman"/>
        <family val="1"/>
        <charset val="204"/>
      </rPr>
      <t>(2)</t>
    </r>
  </si>
  <si>
    <r>
      <rPr>
        <sz val="11"/>
        <rFont val="Times New Roman"/>
        <family val="1"/>
        <charset val="204"/>
      </rPr>
      <t>пгт. Приаргунск, мкр. МЖК, д. 1</t>
    </r>
    <r>
      <rPr>
        <vertAlign val="superscript"/>
        <sz val="11"/>
        <rFont val="Times New Roman"/>
        <family val="1"/>
        <charset val="204"/>
      </rPr>
      <t>(1)</t>
    </r>
  </si>
  <si>
    <r>
      <rPr>
        <sz val="11"/>
        <rFont val="Times New Roman"/>
        <family val="1"/>
        <charset val="204"/>
      </rPr>
      <t>пгт. Приаргунск, мкр. МЖК, д. 2</t>
    </r>
    <r>
      <rPr>
        <vertAlign val="superscript"/>
        <sz val="11"/>
        <rFont val="Times New Roman"/>
        <family val="1"/>
        <charset val="204"/>
      </rPr>
      <t>(4,5,8,910)</t>
    </r>
  </si>
  <si>
    <r>
      <rPr>
        <sz val="11"/>
        <rFont val="Times New Roman"/>
        <family val="1"/>
        <charset val="204"/>
      </rPr>
      <t>пгт. Приаргунск, ул. Декабристов, д. 12</t>
    </r>
    <r>
      <rPr>
        <vertAlign val="superscript"/>
        <sz val="11"/>
        <rFont val="Times New Roman"/>
        <family val="1"/>
        <charset val="204"/>
      </rPr>
      <t>(4,5)</t>
    </r>
  </si>
  <si>
    <r>
      <rPr>
        <sz val="11"/>
        <rFont val="Times New Roman"/>
        <family val="1"/>
        <charset val="204"/>
      </rPr>
      <t>пгт. Приаргунск, ул. Комсомольская, д. 10</t>
    </r>
    <r>
      <rPr>
        <vertAlign val="superscript"/>
        <sz val="11"/>
        <rFont val="Times New Roman"/>
        <family val="1"/>
        <charset val="204"/>
      </rPr>
      <t>(4,5)</t>
    </r>
  </si>
  <si>
    <r>
      <rPr>
        <sz val="11"/>
        <rFont val="Times New Roman"/>
        <family val="1"/>
        <charset val="204"/>
      </rPr>
      <t>пгт. Приаргунск, ул. Чернышевского, д. 6</t>
    </r>
    <r>
      <rPr>
        <vertAlign val="superscript"/>
        <sz val="11"/>
        <rFont val="Times New Roman"/>
        <family val="1"/>
        <charset val="204"/>
      </rPr>
      <t>(1,5)</t>
    </r>
  </si>
  <si>
    <r>
      <rPr>
        <sz val="11"/>
        <rFont val="Times New Roman"/>
        <family val="1"/>
        <charset val="204"/>
      </rPr>
      <t>п. Досатуй, ул. Привокзальная, д. 2а</t>
    </r>
    <r>
      <rPr>
        <vertAlign val="superscript"/>
        <sz val="11"/>
        <rFont val="Times New Roman"/>
        <family val="1"/>
        <charset val="204"/>
      </rPr>
      <t>(4,8)</t>
    </r>
  </si>
  <si>
    <r>
      <rPr>
        <sz val="11"/>
        <rFont val="Times New Roman"/>
        <family val="1"/>
        <charset val="204"/>
      </rPr>
      <t>п. Досатуй, ул. Привокзальная, д. 2б</t>
    </r>
    <r>
      <rPr>
        <vertAlign val="superscript"/>
        <sz val="11"/>
        <rFont val="Times New Roman"/>
        <family val="1"/>
        <charset val="204"/>
      </rPr>
      <t>(4,8)</t>
    </r>
  </si>
  <si>
    <r>
      <rPr>
        <sz val="11"/>
        <rFont val="Times New Roman"/>
        <family val="1"/>
        <charset val="204"/>
      </rPr>
      <t>г. Сретенск, ул. Гагарина, д. 19</t>
    </r>
    <r>
      <rPr>
        <vertAlign val="superscript"/>
        <sz val="11"/>
        <rFont val="Times New Roman"/>
        <family val="1"/>
        <charset val="204"/>
      </rPr>
      <t>(1,5)</t>
    </r>
  </si>
  <si>
    <r>
      <rPr>
        <sz val="11"/>
        <rFont val="Times New Roman"/>
        <family val="1"/>
        <charset val="204"/>
      </rPr>
      <t>г. Сретенск, ул. Карелина, д. 58</t>
    </r>
    <r>
      <rPr>
        <vertAlign val="superscript"/>
        <sz val="11"/>
        <rFont val="Times New Roman"/>
        <family val="1"/>
        <charset val="204"/>
      </rPr>
      <t>(1,5)</t>
    </r>
  </si>
  <si>
    <r>
      <rPr>
        <sz val="11"/>
        <rFont val="Times New Roman"/>
        <family val="1"/>
        <charset val="204"/>
      </rPr>
      <t>пгт. Кокуй, ул. Заводская, д. 25</t>
    </r>
    <r>
      <rPr>
        <vertAlign val="superscript"/>
        <sz val="11"/>
        <rFont val="Times New Roman"/>
        <family val="1"/>
        <charset val="204"/>
      </rPr>
      <t>(4)</t>
    </r>
  </si>
  <si>
    <r>
      <rPr>
        <sz val="11"/>
        <rFont val="Times New Roman"/>
        <family val="1"/>
        <charset val="204"/>
      </rPr>
      <t>с. Верх-Усугли, ул. Первомайская, д. 11</t>
    </r>
    <r>
      <rPr>
        <vertAlign val="superscript"/>
        <sz val="11"/>
        <rFont val="Times New Roman"/>
        <family val="1"/>
        <charset val="204"/>
      </rPr>
      <t>(1)</t>
    </r>
  </si>
  <si>
    <r>
      <rPr>
        <sz val="11"/>
        <rFont val="Times New Roman"/>
        <family val="1"/>
        <charset val="204"/>
      </rPr>
      <t>г. Хилок, ул. Ленина, д. 23а</t>
    </r>
    <r>
      <rPr>
        <vertAlign val="superscript"/>
        <sz val="11"/>
        <rFont val="Times New Roman"/>
        <family val="1"/>
        <charset val="204"/>
      </rPr>
      <t>(5)</t>
    </r>
  </si>
  <si>
    <r>
      <rPr>
        <sz val="11"/>
        <rFont val="Times New Roman"/>
        <family val="1"/>
        <charset val="204"/>
      </rPr>
      <t>с. Бада, г-к Северный, д. 2</t>
    </r>
    <r>
      <rPr>
        <vertAlign val="superscript"/>
        <sz val="11"/>
        <rFont val="Times New Roman"/>
        <family val="1"/>
        <charset val="204"/>
      </rPr>
      <t>(1,2,6)</t>
    </r>
  </si>
  <si>
    <r>
      <rPr>
        <sz val="11"/>
        <rFont val="Times New Roman"/>
        <family val="1"/>
        <charset val="204"/>
      </rPr>
      <t>с. Бада, г-к Северный, д. 3</t>
    </r>
    <r>
      <rPr>
        <vertAlign val="superscript"/>
        <sz val="11"/>
        <rFont val="Times New Roman"/>
        <family val="1"/>
        <charset val="204"/>
      </rPr>
      <t>(1,2,6)</t>
    </r>
  </si>
  <si>
    <r>
      <rPr>
        <sz val="11"/>
        <rFont val="Times New Roman"/>
        <family val="1"/>
        <charset val="204"/>
      </rPr>
      <t>пгт. Аксёново-Зиловское, ул. Энергетиков, д. 5</t>
    </r>
    <r>
      <rPr>
        <vertAlign val="superscript"/>
        <sz val="11"/>
        <rFont val="Times New Roman"/>
        <family val="1"/>
        <charset val="204"/>
      </rPr>
      <t>(1)</t>
    </r>
  </si>
  <si>
    <r>
      <rPr>
        <sz val="11"/>
        <rFont val="Times New Roman"/>
        <family val="1"/>
        <charset val="204"/>
      </rPr>
      <t>пгт. Чернышевск, ул. Журавлева, д. 53</t>
    </r>
    <r>
      <rPr>
        <vertAlign val="superscript"/>
        <sz val="11"/>
        <rFont val="Times New Roman"/>
        <family val="1"/>
        <charset val="204"/>
      </rPr>
      <t>(1,4)</t>
    </r>
  </si>
  <si>
    <r>
      <rPr>
        <sz val="11"/>
        <rFont val="Times New Roman"/>
        <family val="1"/>
        <charset val="204"/>
      </rPr>
      <t>пгт. Чернышевск, ул. Журавлева, д. 61</t>
    </r>
    <r>
      <rPr>
        <vertAlign val="superscript"/>
        <sz val="11"/>
        <rFont val="Times New Roman"/>
        <family val="1"/>
        <charset val="204"/>
      </rPr>
      <t>(4)</t>
    </r>
  </si>
  <si>
    <r>
      <rPr>
        <sz val="11"/>
        <rFont val="Times New Roman"/>
        <family val="1"/>
        <charset val="204"/>
      </rPr>
      <t>пгт. Чернышевск, ул. Журавлева, д. 73</t>
    </r>
    <r>
      <rPr>
        <vertAlign val="superscript"/>
        <sz val="11"/>
        <rFont val="Times New Roman"/>
        <family val="1"/>
        <charset val="204"/>
      </rPr>
      <t>(1,5)</t>
    </r>
  </si>
  <si>
    <r>
      <rPr>
        <sz val="11"/>
        <rFont val="Times New Roman"/>
        <family val="1"/>
        <charset val="204"/>
      </rPr>
      <t>пгт. Чернышевск, ул. Комсомольская, д. 26</t>
    </r>
    <r>
      <rPr>
        <vertAlign val="superscript"/>
        <sz val="11"/>
        <rFont val="Times New Roman"/>
        <family val="1"/>
        <charset val="204"/>
      </rPr>
      <t>(1)</t>
    </r>
  </si>
  <si>
    <r>
      <rPr>
        <sz val="11"/>
        <rFont val="Times New Roman"/>
        <family val="1"/>
        <charset val="204"/>
      </rPr>
      <t>пгт. Чернышевск, ул. Комсомольская, д. 28</t>
    </r>
    <r>
      <rPr>
        <vertAlign val="superscript"/>
        <sz val="11"/>
        <rFont val="Times New Roman"/>
        <family val="1"/>
        <charset val="204"/>
      </rPr>
      <t>(4,5)</t>
    </r>
  </si>
  <si>
    <r>
      <rPr>
        <sz val="11"/>
        <rFont val="Times New Roman"/>
        <family val="1"/>
        <charset val="204"/>
      </rPr>
      <t>пгт. Чернышевск, ул. Первомайская, д. 29</t>
    </r>
    <r>
      <rPr>
        <vertAlign val="superscript"/>
        <sz val="11"/>
        <rFont val="Times New Roman"/>
        <family val="1"/>
        <charset val="204"/>
      </rPr>
      <t>(1)</t>
    </r>
  </si>
  <si>
    <r>
      <rPr>
        <sz val="11"/>
        <rFont val="Times New Roman"/>
        <family val="1"/>
        <charset val="204"/>
      </rPr>
      <t>пгт. Чернышевск, ул. Первомайская, д. 33</t>
    </r>
    <r>
      <rPr>
        <vertAlign val="superscript"/>
        <sz val="11"/>
        <rFont val="Times New Roman"/>
        <family val="1"/>
        <charset val="204"/>
      </rPr>
      <t>(1)</t>
    </r>
  </si>
  <si>
    <r>
      <rPr>
        <sz val="11"/>
        <rFont val="Times New Roman"/>
        <family val="1"/>
        <charset val="204"/>
      </rPr>
      <t>пгт. Атамановка, ул. Заводская, д. 12</t>
    </r>
    <r>
      <rPr>
        <vertAlign val="superscript"/>
        <sz val="11"/>
        <rFont val="Times New Roman"/>
        <family val="1"/>
        <charset val="204"/>
      </rPr>
      <t>(8,9)</t>
    </r>
  </si>
  <si>
    <r>
      <rPr>
        <sz val="11"/>
        <rFont val="Times New Roman"/>
        <family val="1"/>
        <charset val="204"/>
      </rPr>
      <t>пгт. Атамановка, ул. Заводская, д. 3</t>
    </r>
    <r>
      <rPr>
        <vertAlign val="superscript"/>
        <sz val="11"/>
        <rFont val="Times New Roman"/>
        <family val="1"/>
        <charset val="204"/>
      </rPr>
      <t>(8,10)</t>
    </r>
  </si>
  <si>
    <r>
      <rPr>
        <sz val="11"/>
        <rFont val="Times New Roman"/>
        <family val="1"/>
        <charset val="204"/>
      </rPr>
      <t>пгт. Атамановка, ул. Связи, д. 42</t>
    </r>
    <r>
      <rPr>
        <vertAlign val="superscript"/>
        <sz val="11"/>
        <rFont val="Times New Roman"/>
        <family val="1"/>
        <charset val="204"/>
      </rPr>
      <t>(10)</t>
    </r>
  </si>
  <si>
    <r>
      <rPr>
        <sz val="11"/>
        <rFont val="Times New Roman"/>
        <family val="1"/>
        <charset val="204"/>
      </rPr>
      <t>пгт. Новокручининский, ул. Заводская, д. 10</t>
    </r>
    <r>
      <rPr>
        <vertAlign val="superscript"/>
        <sz val="11"/>
        <rFont val="Times New Roman"/>
        <family val="1"/>
        <charset val="204"/>
      </rPr>
      <t>(9,10)</t>
    </r>
  </si>
  <si>
    <r>
      <rPr>
        <sz val="11"/>
        <rFont val="Times New Roman"/>
        <family val="1"/>
        <charset val="204"/>
      </rPr>
      <t>пгт. Новокручининский, ул. Заводская, д. 5</t>
    </r>
    <r>
      <rPr>
        <vertAlign val="superscript"/>
        <sz val="11"/>
        <rFont val="Times New Roman"/>
        <family val="1"/>
        <charset val="204"/>
      </rPr>
      <t>(4)</t>
    </r>
  </si>
  <si>
    <r>
      <rPr>
        <sz val="11"/>
        <rFont val="Times New Roman"/>
        <family val="1"/>
        <charset val="204"/>
      </rPr>
      <t>пгт. Новокручининский, ул. Подлесная, д. 18</t>
    </r>
    <r>
      <rPr>
        <vertAlign val="superscript"/>
        <sz val="11"/>
        <rFont val="Times New Roman"/>
        <family val="1"/>
        <charset val="204"/>
      </rPr>
      <t>(8,9)</t>
    </r>
  </si>
  <si>
    <r>
      <rPr>
        <sz val="11"/>
        <rFont val="Times New Roman"/>
        <family val="1"/>
        <charset val="204"/>
      </rPr>
      <t>пгт. Новокручининский, ул. Российская, д. 1</t>
    </r>
    <r>
      <rPr>
        <vertAlign val="superscript"/>
        <sz val="11"/>
        <rFont val="Times New Roman"/>
        <family val="1"/>
        <charset val="204"/>
      </rPr>
      <t>(4,9,10)</t>
    </r>
  </si>
  <si>
    <r>
      <rPr>
        <sz val="11"/>
        <rFont val="Times New Roman"/>
        <family val="1"/>
        <charset val="204"/>
      </rPr>
      <t>с. Лесной городок, ул. Трактовая, д. 2</t>
    </r>
    <r>
      <rPr>
        <vertAlign val="superscript"/>
        <sz val="11"/>
        <rFont val="Times New Roman"/>
        <family val="1"/>
        <charset val="204"/>
      </rPr>
      <t>(1,4)</t>
    </r>
  </si>
  <si>
    <r>
      <rPr>
        <sz val="11"/>
        <rFont val="Times New Roman"/>
        <family val="1"/>
        <charset val="204"/>
      </rPr>
      <t>с. Лесной городок, ул. Трактовая, д. 3</t>
    </r>
    <r>
      <rPr>
        <vertAlign val="superscript"/>
        <sz val="11"/>
        <rFont val="Times New Roman"/>
        <family val="1"/>
        <charset val="204"/>
      </rPr>
      <t>(1,4)</t>
    </r>
  </si>
  <si>
    <r>
      <rPr>
        <sz val="11"/>
        <rFont val="Times New Roman"/>
        <family val="1"/>
        <charset val="204"/>
      </rPr>
      <t>с. Лесной городок, ул. Центральная, д. 3</t>
    </r>
    <r>
      <rPr>
        <vertAlign val="superscript"/>
        <sz val="11"/>
        <rFont val="Times New Roman"/>
        <family val="1"/>
        <charset val="204"/>
      </rPr>
      <t>(1,4,8)</t>
    </r>
  </si>
  <si>
    <r>
      <rPr>
        <sz val="11"/>
        <rFont val="Times New Roman"/>
        <family val="1"/>
        <charset val="204"/>
      </rPr>
      <t>с. Лесной городок, ул. Центральная, д. 4</t>
    </r>
    <r>
      <rPr>
        <vertAlign val="superscript"/>
        <sz val="11"/>
        <rFont val="Times New Roman"/>
        <family val="1"/>
        <charset val="204"/>
      </rPr>
      <t>(1,2,4,8)</t>
    </r>
  </si>
  <si>
    <r>
      <rPr>
        <sz val="11"/>
        <rFont val="Times New Roman"/>
        <family val="1"/>
        <charset val="204"/>
      </rPr>
      <t>с. Маккавеево, ул. Молодежная, д. 65</t>
    </r>
    <r>
      <rPr>
        <vertAlign val="superscript"/>
        <sz val="11"/>
        <rFont val="Times New Roman"/>
        <family val="1"/>
        <charset val="204"/>
      </rPr>
      <t>(1)</t>
    </r>
  </si>
  <si>
    <r>
      <rPr>
        <sz val="11"/>
        <rFont val="Times New Roman"/>
        <family val="1"/>
        <charset val="204"/>
      </rPr>
      <t>с. Смоленка, Военный городок 31, д. 2</t>
    </r>
    <r>
      <rPr>
        <vertAlign val="superscript"/>
        <sz val="11"/>
        <rFont val="Times New Roman"/>
        <family val="1"/>
        <charset val="204"/>
      </rPr>
      <t>(1,2,4,5,8)</t>
    </r>
  </si>
  <si>
    <r>
      <rPr>
        <sz val="11"/>
        <rFont val="Times New Roman"/>
        <family val="1"/>
        <charset val="204"/>
      </rPr>
      <t>с. Смоленка, Военный городок 31, д. 3</t>
    </r>
    <r>
      <rPr>
        <vertAlign val="superscript"/>
        <sz val="11"/>
        <rFont val="Times New Roman"/>
        <family val="1"/>
        <charset val="204"/>
      </rPr>
      <t>(1,2,4,5,8)</t>
    </r>
  </si>
  <si>
    <r>
      <rPr>
        <sz val="11"/>
        <rFont val="Times New Roman"/>
        <family val="1"/>
        <charset val="204"/>
      </rPr>
      <t>г. Шилка, мкр. Северный, д. 3</t>
    </r>
    <r>
      <rPr>
        <vertAlign val="superscript"/>
        <sz val="11"/>
        <rFont val="Times New Roman"/>
        <family val="1"/>
        <charset val="204"/>
      </rPr>
      <t>(9)</t>
    </r>
  </si>
  <si>
    <r>
      <rPr>
        <sz val="11"/>
        <rFont val="Times New Roman"/>
        <family val="1"/>
        <charset val="204"/>
      </rPr>
      <t>г. Шилка, ул. Погодаева, д. 13</t>
    </r>
    <r>
      <rPr>
        <vertAlign val="superscript"/>
        <sz val="11"/>
        <rFont val="Times New Roman"/>
        <family val="1"/>
        <charset val="204"/>
      </rPr>
      <t>(8)</t>
    </r>
  </si>
  <si>
    <t xml:space="preserve">пгт. Первомайский, нп. Микрорайон, д. 4 </t>
  </si>
  <si>
    <r>
      <rPr>
        <sz val="11"/>
        <rFont val="Times New Roman"/>
        <family val="1"/>
        <charset val="204"/>
      </rPr>
      <t>пгт. Первомайский, ул. Ленина, д. 14</t>
    </r>
    <r>
      <rPr>
        <vertAlign val="superscript"/>
        <sz val="11"/>
        <rFont val="Times New Roman"/>
        <family val="1"/>
        <charset val="204"/>
      </rPr>
      <t>(4,5)</t>
    </r>
  </si>
  <si>
    <r>
      <rPr>
        <sz val="11"/>
        <rFont val="Times New Roman"/>
        <family val="1"/>
        <charset val="204"/>
      </rPr>
      <t>пгт. Первомайский, ул. Мира, д. 21</t>
    </r>
    <r>
      <rPr>
        <vertAlign val="superscript"/>
        <sz val="11"/>
        <rFont val="Times New Roman"/>
        <family val="1"/>
        <charset val="204"/>
      </rPr>
      <t>(4,5)</t>
    </r>
  </si>
  <si>
    <r>
      <rPr>
        <sz val="11"/>
        <rFont val="Times New Roman"/>
        <family val="1"/>
        <charset val="204"/>
      </rPr>
      <t>пгт. Первомайский, ул. Пролетарская, д. 12а</t>
    </r>
    <r>
      <rPr>
        <vertAlign val="superscript"/>
        <sz val="11"/>
        <rFont val="Times New Roman"/>
        <family val="1"/>
        <charset val="204"/>
      </rPr>
      <t>(1,5)</t>
    </r>
  </si>
  <si>
    <r>
      <rPr>
        <sz val="11"/>
        <rFont val="Times New Roman"/>
        <family val="1"/>
        <charset val="204"/>
      </rPr>
      <t>пгт. Первомайский, ул. Пролетарская, д. 16</t>
    </r>
    <r>
      <rPr>
        <vertAlign val="superscript"/>
        <sz val="11"/>
        <rFont val="Times New Roman"/>
        <family val="1"/>
        <charset val="204"/>
      </rPr>
      <t>(1,5)</t>
    </r>
  </si>
  <si>
    <r>
      <rPr>
        <sz val="11"/>
        <rFont val="Times New Roman"/>
        <family val="1"/>
        <charset val="204"/>
      </rPr>
      <t>пгт. Первомайский, ул. Пролетарская, д. 26</t>
    </r>
    <r>
      <rPr>
        <vertAlign val="superscript"/>
        <sz val="11"/>
        <rFont val="Times New Roman"/>
        <family val="1"/>
        <charset val="204"/>
      </rPr>
      <t>(1)</t>
    </r>
  </si>
  <si>
    <r>
      <rPr>
        <sz val="11"/>
        <rFont val="Times New Roman"/>
        <family val="1"/>
        <charset val="204"/>
      </rPr>
      <t>пгт. Первомайский, ул. Строительная, д. 5, блок Б</t>
    </r>
    <r>
      <rPr>
        <vertAlign val="superscript"/>
        <sz val="11"/>
        <rFont val="Times New Roman"/>
        <family val="1"/>
        <charset val="204"/>
      </rPr>
      <t>(1)</t>
    </r>
  </si>
  <si>
    <r>
      <rPr>
        <sz val="11"/>
        <rFont val="Times New Roman"/>
        <family val="1"/>
        <charset val="204"/>
      </rPr>
      <t>пгт. Первомайский, ул. Строительная, д. 20</t>
    </r>
    <r>
      <rPr>
        <vertAlign val="superscript"/>
        <sz val="11"/>
        <rFont val="Times New Roman"/>
        <family val="1"/>
        <charset val="204"/>
      </rPr>
      <t>(5)</t>
    </r>
  </si>
  <si>
    <r>
      <rPr>
        <sz val="11"/>
        <rFont val="Times New Roman"/>
        <family val="1"/>
        <charset val="204"/>
      </rPr>
      <t>пгт. Холбон, ул. Больничная, д. 1</t>
    </r>
    <r>
      <rPr>
        <vertAlign val="superscript"/>
        <sz val="11"/>
        <rFont val="Times New Roman"/>
        <family val="1"/>
        <charset val="204"/>
      </rPr>
      <t>(4,5)</t>
    </r>
  </si>
  <si>
    <r>
      <rPr>
        <sz val="11"/>
        <rFont val="Times New Roman"/>
        <family val="1"/>
        <charset val="204"/>
      </rPr>
      <t>пгт. Холбон, ул. Советская, д. 6</t>
    </r>
    <r>
      <rPr>
        <vertAlign val="superscript"/>
        <sz val="11"/>
        <rFont val="Times New Roman"/>
        <family val="1"/>
        <charset val="204"/>
      </rPr>
      <t>(1)</t>
    </r>
  </si>
  <si>
    <r>
      <rPr>
        <sz val="11"/>
        <rFont val="Times New Roman"/>
        <family val="1"/>
        <charset val="204"/>
      </rPr>
      <t>г. Чита, ул. Донская, д. 4</t>
    </r>
    <r>
      <rPr>
        <vertAlign val="superscript"/>
        <sz val="11"/>
        <rFont val="Times New Roman"/>
        <family val="1"/>
        <charset val="204"/>
      </rPr>
      <t>(1,6)</t>
    </r>
  </si>
  <si>
    <r>
      <rPr>
        <sz val="11"/>
        <rFont val="Times New Roman"/>
        <family val="1"/>
        <charset val="204"/>
      </rPr>
      <t>г. Чита, ул. Малая, д. 4</t>
    </r>
    <r>
      <rPr>
        <vertAlign val="superscript"/>
        <sz val="11"/>
        <rFont val="Times New Roman"/>
        <family val="1"/>
        <charset val="204"/>
      </rPr>
      <t>(8)</t>
    </r>
  </si>
  <si>
    <r>
      <rPr>
        <sz val="11"/>
        <rFont val="Times New Roman"/>
        <family val="1"/>
        <charset val="204"/>
      </rPr>
      <t>г. Чита, ул. Столярова, д. 44</t>
    </r>
    <r>
      <rPr>
        <vertAlign val="superscript"/>
        <sz val="11"/>
        <rFont val="Times New Roman"/>
        <family val="1"/>
        <charset val="204"/>
      </rPr>
      <t>(5)</t>
    </r>
  </si>
  <si>
    <r>
      <rPr>
        <sz val="11"/>
        <rFont val="Times New Roman"/>
        <family val="1"/>
        <charset val="204"/>
      </rPr>
      <t>г. Борзя, ул. Гурьева 79 квартал, д. 1</t>
    </r>
    <r>
      <rPr>
        <vertAlign val="superscript"/>
        <sz val="11"/>
        <rFont val="Times New Roman"/>
        <family val="1"/>
        <charset val="204"/>
      </rPr>
      <t>(4,10)</t>
    </r>
  </si>
  <si>
    <r>
      <rPr>
        <sz val="11"/>
        <rFont val="Times New Roman"/>
        <family val="1"/>
        <charset val="204"/>
      </rPr>
      <t>г. Борзя, ул. Ленина, д. 3</t>
    </r>
    <r>
      <rPr>
        <vertAlign val="superscript"/>
        <sz val="11"/>
        <rFont val="Times New Roman"/>
        <family val="1"/>
        <charset val="204"/>
      </rPr>
      <t>(9)</t>
    </r>
  </si>
  <si>
    <r>
      <rPr>
        <sz val="11"/>
        <rFont val="Times New Roman"/>
        <family val="1"/>
        <charset val="204"/>
      </rPr>
      <t>г. Борзя, ул. Матросова, д. 25</t>
    </r>
    <r>
      <rPr>
        <vertAlign val="superscript"/>
        <sz val="11"/>
        <rFont val="Times New Roman"/>
        <family val="1"/>
        <charset val="204"/>
      </rPr>
      <t>(1)</t>
    </r>
  </si>
  <si>
    <r>
      <rPr>
        <sz val="11"/>
        <rFont val="Times New Roman"/>
        <family val="1"/>
        <charset val="204"/>
      </rPr>
      <t>г. Борзя, ул. Смирнова, д. 51</t>
    </r>
    <r>
      <rPr>
        <vertAlign val="superscript"/>
        <sz val="11"/>
        <rFont val="Times New Roman"/>
        <family val="1"/>
        <charset val="204"/>
      </rPr>
      <t>(1)</t>
    </r>
  </si>
  <si>
    <r>
      <rPr>
        <sz val="11"/>
        <rFont val="Times New Roman"/>
        <family val="1"/>
        <charset val="204"/>
      </rPr>
      <t>пгт. Шерловая Гора, мкр. 2-й, д. 3</t>
    </r>
    <r>
      <rPr>
        <vertAlign val="superscript"/>
        <sz val="11"/>
        <rFont val="Times New Roman"/>
        <family val="1"/>
        <charset val="204"/>
      </rPr>
      <t>(1)</t>
    </r>
  </si>
  <si>
    <r>
      <rPr>
        <sz val="11"/>
        <rFont val="Times New Roman"/>
        <family val="1"/>
        <charset val="204"/>
      </rPr>
      <t>пгт. Шерловая Гора, ул. Дзержинского, д. 5</t>
    </r>
    <r>
      <rPr>
        <vertAlign val="superscript"/>
        <sz val="11"/>
        <rFont val="Times New Roman"/>
        <family val="1"/>
        <charset val="204"/>
      </rPr>
      <t>(1)</t>
    </r>
  </si>
  <si>
    <r>
      <rPr>
        <sz val="11"/>
        <rFont val="Times New Roman"/>
        <family val="1"/>
        <charset val="204"/>
      </rPr>
      <t>пгт. Шерловая Гора, ул. Калинина, д. 1</t>
    </r>
    <r>
      <rPr>
        <vertAlign val="superscript"/>
        <sz val="11"/>
        <rFont val="Times New Roman"/>
        <family val="1"/>
        <charset val="204"/>
      </rPr>
      <t>(9)</t>
    </r>
  </si>
  <si>
    <r>
      <rPr>
        <sz val="11"/>
        <rFont val="Times New Roman"/>
        <family val="1"/>
        <charset val="204"/>
      </rPr>
      <t>пгт. Шерловая Гора, ул. Учанина, д. 3</t>
    </r>
    <r>
      <rPr>
        <vertAlign val="superscript"/>
        <sz val="11"/>
        <rFont val="Times New Roman"/>
        <family val="1"/>
        <charset val="204"/>
      </rPr>
      <t>(9)</t>
    </r>
  </si>
  <si>
    <r>
      <rPr>
        <sz val="11"/>
        <rFont val="Times New Roman"/>
        <family val="1"/>
        <charset val="204"/>
      </rPr>
      <t>пгт. Новая Чара, ул. Магистральная, д. 18</t>
    </r>
    <r>
      <rPr>
        <vertAlign val="superscript"/>
        <sz val="11"/>
        <rFont val="Times New Roman"/>
        <family val="1"/>
        <charset val="204"/>
      </rPr>
      <t>(1/1)</t>
    </r>
  </si>
  <si>
    <t>п/ст. Куанда, ул. Советская, д. 10а</t>
  </si>
  <si>
    <t xml:space="preserve"> пгт. Дарасун, ул. Калинина, д. 8</t>
  </si>
  <si>
    <r>
      <t>г. Могоча, ул. Аникинская, д. 9</t>
    </r>
    <r>
      <rPr>
        <vertAlign val="superscript"/>
        <sz val="11"/>
        <rFont val="Times New Roman"/>
        <family val="1"/>
        <charset val="204"/>
      </rPr>
      <t>(1/1)</t>
    </r>
  </si>
  <si>
    <t>г. Могоча, ул. Малокрестьянская, д. 38</t>
  </si>
  <si>
    <r>
      <rPr>
        <sz val="11"/>
        <rFont val="Times New Roman"/>
        <family val="1"/>
        <charset val="204"/>
      </rPr>
      <t>г. Нерчинск, ул. Декабристов, д. 37</t>
    </r>
    <r>
      <rPr>
        <vertAlign val="superscript"/>
        <sz val="11"/>
        <rFont val="Times New Roman"/>
        <family val="1"/>
        <charset val="204"/>
      </rPr>
      <t>(1,4,5,9,10)</t>
    </r>
  </si>
  <si>
    <r>
      <rPr>
        <sz val="11"/>
        <rFont val="Times New Roman"/>
        <family val="1"/>
        <charset val="204"/>
      </rPr>
      <t>г. Нерчинск, ул. Сибирская, д. 8</t>
    </r>
    <r>
      <rPr>
        <vertAlign val="superscript"/>
        <sz val="11"/>
        <rFont val="Times New Roman"/>
        <family val="1"/>
        <charset val="204"/>
      </rPr>
      <t>(5)</t>
    </r>
  </si>
  <si>
    <r>
      <rPr>
        <sz val="11"/>
        <rFont val="Times New Roman"/>
        <family val="1"/>
        <charset val="204"/>
      </rPr>
      <t>г. Нерчинск, ул. Шилова, д. 36</t>
    </r>
    <r>
      <rPr>
        <vertAlign val="superscript"/>
        <sz val="11"/>
        <rFont val="Times New Roman"/>
        <family val="1"/>
        <charset val="204"/>
      </rPr>
      <t>(1)</t>
    </r>
  </si>
  <si>
    <r>
      <rPr>
        <sz val="11"/>
        <rFont val="Times New Roman"/>
        <family val="1"/>
        <charset val="204"/>
      </rPr>
      <t>п/ст. Ясная, ул. Мира, д. 3</t>
    </r>
    <r>
      <rPr>
        <vertAlign val="superscript"/>
        <sz val="11"/>
        <rFont val="Times New Roman"/>
        <family val="1"/>
        <charset val="204"/>
      </rPr>
      <t>(1/1,8)</t>
    </r>
  </si>
  <si>
    <t>г. Петровск-Забайкальский, ул. Спортивная, д. 16</t>
  </si>
  <si>
    <t>г. Петровск-Забайкальский, ул. Спортивная, д. 23</t>
  </si>
  <si>
    <t>Итого по Сретенскому муницпальному округу:</t>
  </si>
  <si>
    <r>
      <rPr>
        <sz val="11"/>
        <rFont val="Times New Roman"/>
        <family val="1"/>
        <charset val="204"/>
      </rPr>
      <t>пгт. Вершино-Дарасунский, ул. Юбилейная, д. 1а</t>
    </r>
    <r>
      <rPr>
        <vertAlign val="superscript"/>
        <sz val="11"/>
        <rFont val="Times New Roman"/>
        <family val="1"/>
        <charset val="204"/>
      </rPr>
      <t>(1)</t>
    </r>
  </si>
  <si>
    <r>
      <rPr>
        <sz val="11"/>
        <rFont val="Times New Roman"/>
        <family val="1"/>
        <charset val="204"/>
      </rPr>
      <t>с. Верх-Усугли, ул. Пролетарская, д. 12</t>
    </r>
    <r>
      <rPr>
        <vertAlign val="superscript"/>
        <sz val="11"/>
        <rFont val="Times New Roman"/>
        <family val="1"/>
        <charset val="204"/>
      </rPr>
      <t>(4)</t>
    </r>
  </si>
  <si>
    <r>
      <rPr>
        <sz val="11"/>
        <rFont val="Times New Roman"/>
        <family val="1"/>
        <charset val="204"/>
      </rPr>
      <t>с. Бада, г-к Северный, д. 2</t>
    </r>
    <r>
      <rPr>
        <vertAlign val="superscript"/>
        <sz val="11"/>
        <rFont val="Times New Roman"/>
        <family val="1"/>
        <charset val="204"/>
      </rPr>
      <t>(9,10)</t>
    </r>
  </si>
  <si>
    <r>
      <rPr>
        <sz val="11"/>
        <rFont val="Times New Roman"/>
        <family val="1"/>
        <charset val="204"/>
      </rPr>
      <t>с. Бада, г-к Северный, д. 3</t>
    </r>
    <r>
      <rPr>
        <vertAlign val="superscript"/>
        <sz val="11"/>
        <rFont val="Times New Roman"/>
        <family val="1"/>
        <charset val="204"/>
      </rPr>
      <t>(9,10)</t>
    </r>
  </si>
  <si>
    <r>
      <rPr>
        <sz val="11"/>
        <rFont val="Times New Roman"/>
        <family val="1"/>
        <charset val="204"/>
      </rPr>
      <t>пгт. Атамановка, ул. Связи, д. 24а</t>
    </r>
    <r>
      <rPr>
        <vertAlign val="superscript"/>
        <sz val="11"/>
        <rFont val="Times New Roman"/>
        <family val="1"/>
        <charset val="204"/>
      </rPr>
      <t>(6,9)</t>
    </r>
  </si>
  <si>
    <r>
      <rPr>
        <sz val="11"/>
        <rFont val="Times New Roman"/>
        <family val="1"/>
        <charset val="204"/>
      </rPr>
      <t>п/ст. Гонгота, ул. ДОС, д. 5</t>
    </r>
    <r>
      <rPr>
        <vertAlign val="superscript"/>
        <sz val="11"/>
        <rFont val="Times New Roman"/>
        <family val="1"/>
        <charset val="204"/>
      </rPr>
      <t>(9,10)</t>
    </r>
  </si>
  <si>
    <r>
      <rPr>
        <sz val="11"/>
        <rFont val="Times New Roman"/>
        <family val="1"/>
        <charset val="204"/>
      </rPr>
      <t>с. Лесной городок, ул. Трактовая, д. 2</t>
    </r>
    <r>
      <rPr>
        <vertAlign val="superscript"/>
        <sz val="11"/>
        <rFont val="Times New Roman"/>
        <family val="1"/>
        <charset val="204"/>
      </rPr>
      <t>(9,10)</t>
    </r>
  </si>
  <si>
    <r>
      <rPr>
        <sz val="11"/>
        <rFont val="Times New Roman"/>
        <family val="1"/>
        <charset val="204"/>
      </rPr>
      <t>с. Лесной городок, ул. Трактовая, д. 3</t>
    </r>
    <r>
      <rPr>
        <vertAlign val="superscript"/>
        <sz val="11"/>
        <rFont val="Times New Roman"/>
        <family val="1"/>
        <charset val="204"/>
      </rPr>
      <t>(9,10)</t>
    </r>
  </si>
  <si>
    <r>
      <rPr>
        <sz val="11"/>
        <rFont val="Times New Roman"/>
        <family val="1"/>
        <charset val="204"/>
      </rPr>
      <t>с. Лесной городок, ул. Центральная, д. 3</t>
    </r>
    <r>
      <rPr>
        <vertAlign val="superscript"/>
        <sz val="11"/>
        <rFont val="Times New Roman"/>
        <family val="1"/>
        <charset val="204"/>
      </rPr>
      <t>(9,10)</t>
    </r>
  </si>
  <si>
    <r>
      <rPr>
        <sz val="11"/>
        <rFont val="Times New Roman"/>
        <family val="1"/>
        <charset val="204"/>
      </rPr>
      <t>с. Лесной городок, ул. Центральная, д. 4</t>
    </r>
    <r>
      <rPr>
        <vertAlign val="superscript"/>
        <sz val="11"/>
        <rFont val="Times New Roman"/>
        <family val="1"/>
        <charset val="204"/>
      </rPr>
      <t>(9,10)</t>
    </r>
  </si>
  <si>
    <r>
      <rPr>
        <sz val="11"/>
        <rFont val="Times New Roman"/>
        <family val="1"/>
        <charset val="204"/>
      </rPr>
      <t>с. Смоленка, Военный городок 31, д. 2</t>
    </r>
    <r>
      <rPr>
        <vertAlign val="superscript"/>
        <sz val="11"/>
        <rFont val="Times New Roman"/>
        <family val="1"/>
        <charset val="204"/>
      </rPr>
      <t>(9,10)</t>
    </r>
  </si>
  <si>
    <r>
      <rPr>
        <sz val="11"/>
        <rFont val="Times New Roman"/>
        <family val="1"/>
        <charset val="204"/>
      </rPr>
      <t>с. Смоленка, Военный городок 31, д. 3</t>
    </r>
    <r>
      <rPr>
        <vertAlign val="superscript"/>
        <sz val="11"/>
        <rFont val="Times New Roman"/>
        <family val="1"/>
        <charset val="204"/>
      </rPr>
      <t>(9,10)</t>
    </r>
  </si>
  <si>
    <t>пгт. Первомайский, нп. Микрорайон, д. 12</t>
  </si>
  <si>
    <t>г. Борзя, ул. Лазо, д. 14</t>
  </si>
  <si>
    <r>
      <rPr>
        <sz val="11"/>
        <rFont val="Times New Roman"/>
        <family val="1"/>
        <charset val="204"/>
      </rPr>
      <t>пгт. Кокуй, ул. Ленина, д. 1</t>
    </r>
    <r>
      <rPr>
        <vertAlign val="superscript"/>
        <sz val="11"/>
        <rFont val="Times New Roman"/>
        <family val="1"/>
        <charset val="204"/>
      </rPr>
      <t>(2)</t>
    </r>
  </si>
  <si>
    <t>Примечание:</t>
  </si>
  <si>
    <t>(1) - разработка проектной документации на ремонт крыши</t>
  </si>
  <si>
    <t>(1/1) - разработка проектной документации на переустройство крыши с невентилируемой на вентилируемую</t>
  </si>
  <si>
    <t>(2) - разработка проектной документации на ремонт фасада</t>
  </si>
  <si>
    <t>(2/2) - разработка проектной документации на ремонт фасада с утеплением</t>
  </si>
  <si>
    <t>(3) - разработка проектной документации на ремонт фундамента</t>
  </si>
  <si>
    <t>(4) - разработка проектной документации на ремонт внутридомовой инженерной системы теплоснабжения</t>
  </si>
  <si>
    <t>(5) - разработка проектной документации на ремонт внутридомовой инженерной системы электроснабжения</t>
  </si>
  <si>
    <t>(6) - разработка проектной документации на ремонт внутридомовой инженерной системы теплоснабжения и горячего водоснабжения</t>
  </si>
  <si>
    <t>(7) - разработка проектной документации на замену и ремонт лифтового оборудования</t>
  </si>
  <si>
    <t>(8) - разработка проектной документации на ремонт внутридомовой инженерной системы горячего водоснабжения</t>
  </si>
  <si>
    <t>(9) - разработка проектной документации на ремонт внутридомовой инженерной системы холодного водоснабжения</t>
  </si>
  <si>
    <t>(10) - разработка проектной документации на ремонт внутридомовой инженерной системы водоотведения</t>
  </si>
  <si>
    <t>(11) - разработка проектной документации на ремонт подвального помещения</t>
  </si>
  <si>
    <t>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</si>
</sst>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3" formatCode="_-* #,##0.00_-;\-* #,##0.00_-;_-* &quot;-&quot;??_-;_-@_-"/>
    <numFmt numFmtId="164" formatCode="[$-419]General"/>
    <numFmt numFmtId="165" formatCode="#,##0.00&quot; &quot;[$руб.-419];[Red]&quot;-&quot;#,##0.00&quot; &quot;[$руб.-419]"/>
    <numFmt numFmtId="166" formatCode="_-* #,##0.00\ _₽_-;\-* #,##0.00\ _₽_-;_-* &quot;-&quot;??\ _₽_-;_-@_-"/>
    <numFmt numFmtId="167" formatCode="_-* #,##0.00_р_._-;\-* #,##0.00_р_._-;_-* &quot;-&quot;??_р_._-;_-@_-"/>
    <numFmt numFmtId="168" formatCode="0.0"/>
    <numFmt numFmtId="169" formatCode="#,##0.0"/>
    <numFmt numFmtId="170" formatCode="_-* #,##0.0_-;&quot;-&quot;* #,##0.0_-;_-* &quot;-&quot;??_-;_-@_-"/>
    <numFmt numFmtId="171" formatCode="0.000"/>
    <numFmt numFmtId="172" formatCode="###&quot; &quot;###&quot; &quot;###&quot; &quot;##0.0"/>
    <numFmt numFmtId="173" formatCode="#,##0.00_ ;\-#,##0.00\ "/>
  </numFmts>
  <fonts count="27" x14ac:knownFonts="1">
    <font>
      <sz val="11"/>
      <color theme="1"/>
      <name val="Calibri"/>
      <scheme val="minor"/>
    </font>
    <font>
      <sz val="11"/>
      <name val="Calibri"/>
      <family val="2"/>
      <charset val="204"/>
    </font>
    <font>
      <b/>
      <i/>
      <sz val="16"/>
      <color theme="1"/>
      <name val="Arial"/>
      <family val="2"/>
      <charset val="204"/>
    </font>
    <font>
      <b/>
      <i/>
      <u/>
      <sz val="11"/>
      <color theme="1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Arial"/>
      <family val="2"/>
      <charset val="204"/>
    </font>
    <font>
      <sz val="11"/>
      <name val="Times New Roman"/>
      <family val="1"/>
      <charset val="204"/>
    </font>
    <font>
      <sz val="14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rgb="FF0070C0"/>
      <name val="Times New Roman"/>
      <family val="1"/>
      <charset val="204"/>
    </font>
    <font>
      <b/>
      <sz val="11"/>
      <color rgb="FF0070C0"/>
      <name val="Times New Roman"/>
      <family val="1"/>
      <charset val="204"/>
    </font>
    <font>
      <b/>
      <sz val="16"/>
      <name val="Times New Roman"/>
      <family val="1"/>
      <charset val="204"/>
    </font>
    <font>
      <sz val="11"/>
      <color rgb="FF0070C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1"/>
      <color rgb="FF0070C0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2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vertAlign val="superscript"/>
      <sz val="1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2"/>
        <bgColor theme="2"/>
      </patternFill>
    </fill>
    <fill>
      <patternFill patternType="solid">
        <fgColor theme="0"/>
        <bgColor theme="0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0"/>
        <bgColor theme="0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auto="1"/>
      </right>
      <top/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4260">
    <xf numFmtId="0" fontId="0" fillId="0" borderId="0"/>
    <xf numFmtId="164" fontId="1" fillId="0" borderId="0"/>
    <xf numFmtId="0" fontId="2" fillId="0" borderId="0">
      <alignment horizontal="center"/>
    </xf>
    <xf numFmtId="0" fontId="2" fillId="0" borderId="0">
      <alignment horizontal="center" textRotation="90"/>
    </xf>
    <xf numFmtId="0" fontId="3" fillId="0" borderId="0"/>
    <xf numFmtId="165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 applyNumberFormat="0" applyFont="0" applyFill="0" applyBorder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5" fillId="0" borderId="0"/>
    <xf numFmtId="0" fontId="5" fillId="0" borderId="0"/>
    <xf numFmtId="0" fontId="2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5" fillId="0" borderId="0"/>
    <xf numFmtId="0" fontId="25" fillId="0" borderId="0"/>
    <xf numFmtId="0" fontId="4" fillId="0" borderId="0"/>
    <xf numFmtId="0" fontId="25" fillId="0" borderId="0"/>
    <xf numFmtId="0" fontId="2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6" fontId="25" fillId="0" borderId="0" applyFont="0" applyFill="0" applyBorder="0" applyProtection="0"/>
    <xf numFmtId="167" fontId="1" fillId="0" borderId="0" applyFont="0" applyFill="0" applyBorder="0" applyProtection="0"/>
    <xf numFmtId="167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43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43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7" fontId="1" fillId="0" borderId="0" applyFont="0" applyFill="0" applyBorder="0" applyProtection="0"/>
    <xf numFmtId="167" fontId="1" fillId="0" borderId="0" applyFont="0" applyFill="0" applyBorder="0" applyProtection="0"/>
    <xf numFmtId="167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25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7" fontId="1" fillId="0" borderId="0" applyFont="0" applyFill="0" applyBorder="0" applyProtection="0"/>
    <xf numFmtId="167" fontId="1" fillId="0" borderId="0" applyFont="0" applyFill="0" applyBorder="0" applyProtection="0"/>
    <xf numFmtId="167" fontId="1" fillId="0" borderId="0" applyFont="0" applyFill="0" applyBorder="0" applyProtection="0"/>
    <xf numFmtId="166" fontId="1" fillId="0" borderId="0" applyFont="0" applyFill="0" applyBorder="0" applyProtection="0"/>
    <xf numFmtId="166" fontId="25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7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7" fontId="1" fillId="0" borderId="0" applyFont="0" applyFill="0" applyBorder="0" applyProtection="0"/>
    <xf numFmtId="167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</cellStyleXfs>
  <cellXfs count="363">
    <xf numFmtId="0" fontId="0" fillId="0" borderId="0" xfId="0"/>
    <xf numFmtId="0" fontId="6" fillId="0" borderId="0" xfId="0" applyFont="1" applyAlignment="1">
      <alignment wrapText="1"/>
    </xf>
    <xf numFmtId="49" fontId="6" fillId="0" borderId="0" xfId="0" applyNumberFormat="1" applyFont="1" applyAlignment="1">
      <alignment wrapText="1"/>
    </xf>
    <xf numFmtId="0" fontId="6" fillId="0" borderId="0" xfId="0" applyFont="1"/>
    <xf numFmtId="0" fontId="7" fillId="0" borderId="0" xfId="0" applyFont="1" applyAlignment="1">
      <alignment wrapText="1"/>
    </xf>
    <xf numFmtId="0" fontId="7" fillId="0" borderId="0" xfId="0" applyFont="1" applyAlignment="1">
      <alignment horizontal="center" wrapText="1"/>
    </xf>
    <xf numFmtId="0" fontId="8" fillId="0" borderId="0" xfId="0" applyFont="1"/>
    <xf numFmtId="0" fontId="0" fillId="0" borderId="0" xfId="0"/>
    <xf numFmtId="0" fontId="6" fillId="0" borderId="2" xfId="0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textRotation="90" wrapText="1"/>
    </xf>
    <xf numFmtId="0" fontId="6" fillId="0" borderId="2" xfId="0" applyFont="1" applyBorder="1" applyAlignment="1">
      <alignment horizontal="center" vertical="center"/>
    </xf>
    <xf numFmtId="0" fontId="11" fillId="2" borderId="0" xfId="0" applyFont="1" applyFill="1"/>
    <xf numFmtId="0" fontId="12" fillId="2" borderId="2" xfId="0" applyFont="1" applyFill="1" applyBorder="1" applyAlignment="1">
      <alignment wrapText="1"/>
    </xf>
    <xf numFmtId="0" fontId="10" fillId="2" borderId="2" xfId="0" applyFont="1" applyFill="1" applyBorder="1" applyAlignment="1">
      <alignment horizontal="center" wrapText="1"/>
    </xf>
    <xf numFmtId="49" fontId="12" fillId="2" borderId="2" xfId="0" applyNumberFormat="1" applyFont="1" applyFill="1" applyBorder="1" applyAlignment="1">
      <alignment wrapText="1"/>
    </xf>
    <xf numFmtId="0" fontId="12" fillId="2" borderId="2" xfId="0" applyFont="1" applyFill="1" applyBorder="1"/>
    <xf numFmtId="0" fontId="11" fillId="3" borderId="0" xfId="0" applyFont="1" applyFill="1"/>
    <xf numFmtId="0" fontId="12" fillId="3" borderId="2" xfId="0" applyFont="1" applyFill="1" applyBorder="1" applyAlignment="1">
      <alignment horizontal="center" wrapText="1"/>
    </xf>
    <xf numFmtId="49" fontId="12" fillId="3" borderId="2" xfId="0" applyNumberFormat="1" applyFont="1" applyFill="1" applyBorder="1" applyAlignment="1">
      <alignment horizontal="center" wrapText="1"/>
    </xf>
    <xf numFmtId="0" fontId="12" fillId="3" borderId="2" xfId="0" applyFont="1" applyFill="1" applyBorder="1" applyAlignment="1">
      <alignment horizontal="center"/>
    </xf>
    <xf numFmtId="4" fontId="12" fillId="3" borderId="2" xfId="0" applyNumberFormat="1" applyFont="1" applyFill="1" applyBorder="1"/>
    <xf numFmtId="3" fontId="12" fillId="3" borderId="2" xfId="0" applyNumberFormat="1" applyFont="1" applyFill="1" applyBorder="1"/>
    <xf numFmtId="0" fontId="12" fillId="3" borderId="0" xfId="0" applyFont="1" applyFill="1"/>
    <xf numFmtId="4" fontId="12" fillId="3" borderId="2" xfId="0" applyNumberFormat="1" applyFont="1" applyFill="1" applyBorder="1" applyAlignment="1">
      <alignment horizontal="center"/>
    </xf>
    <xf numFmtId="0" fontId="6" fillId="3" borderId="2" xfId="0" applyFont="1" applyFill="1" applyBorder="1" applyAlignment="1">
      <alignment horizontal="center" wrapText="1"/>
    </xf>
    <xf numFmtId="49" fontId="6" fillId="3" borderId="2" xfId="0" applyNumberFormat="1" applyFont="1" applyFill="1" applyBorder="1" applyAlignment="1">
      <alignment wrapText="1"/>
    </xf>
    <xf numFmtId="49" fontId="6" fillId="3" borderId="2" xfId="0" applyNumberFormat="1" applyFont="1" applyFill="1" applyBorder="1" applyAlignment="1">
      <alignment horizontal="center" wrapText="1"/>
    </xf>
    <xf numFmtId="0" fontId="6" fillId="3" borderId="2" xfId="0" applyFont="1" applyFill="1" applyBorder="1" applyAlignment="1">
      <alignment horizontal="center"/>
    </xf>
    <xf numFmtId="4" fontId="6" fillId="3" borderId="2" xfId="0" applyNumberFormat="1" applyFont="1" applyFill="1" applyBorder="1" applyAlignment="1">
      <alignment horizontal="right"/>
    </xf>
    <xf numFmtId="3" fontId="6" fillId="3" borderId="2" xfId="0" applyNumberFormat="1" applyFont="1" applyFill="1" applyBorder="1" applyAlignment="1">
      <alignment horizontal="right"/>
    </xf>
    <xf numFmtId="4" fontId="6" fillId="3" borderId="2" xfId="54" applyNumberFormat="1" applyFont="1" applyFill="1" applyBorder="1" applyAlignment="1">
      <alignment horizontal="right"/>
    </xf>
    <xf numFmtId="4" fontId="6" fillId="3" borderId="2" xfId="0" applyNumberFormat="1" applyFont="1" applyFill="1" applyBorder="1"/>
    <xf numFmtId="49" fontId="6" fillId="3" borderId="2" xfId="0" applyNumberFormat="1" applyFont="1" applyFill="1" applyBorder="1" applyAlignment="1">
      <alignment horizontal="right"/>
    </xf>
    <xf numFmtId="49" fontId="6" fillId="3" borderId="2" xfId="0" applyNumberFormat="1" applyFont="1" applyFill="1" applyBorder="1" applyAlignment="1">
      <alignment horizontal="left" wrapText="1"/>
    </xf>
    <xf numFmtId="3" fontId="6" fillId="3" borderId="2" xfId="0" applyNumberFormat="1" applyFont="1" applyFill="1" applyBorder="1"/>
    <xf numFmtId="168" fontId="6" fillId="3" borderId="2" xfId="0" applyNumberFormat="1" applyFont="1" applyFill="1" applyBorder="1" applyAlignment="1">
      <alignment wrapText="1"/>
    </xf>
    <xf numFmtId="0" fontId="6" fillId="3" borderId="2" xfId="0" applyFont="1" applyFill="1" applyBorder="1" applyAlignment="1">
      <alignment wrapText="1"/>
    </xf>
    <xf numFmtId="0" fontId="6" fillId="3" borderId="2" xfId="0" applyFont="1" applyFill="1" applyBorder="1" applyAlignment="1">
      <alignment horizontal="left" wrapText="1"/>
    </xf>
    <xf numFmtId="168" fontId="6" fillId="3" borderId="2" xfId="0" applyNumberFormat="1" applyFont="1" applyFill="1" applyBorder="1" applyAlignment="1">
      <alignment horizontal="left" wrapText="1"/>
    </xf>
    <xf numFmtId="0" fontId="8" fillId="3" borderId="0" xfId="0" applyFont="1" applyFill="1"/>
    <xf numFmtId="0" fontId="6" fillId="3" borderId="2" xfId="0" applyFont="1" applyFill="1" applyBorder="1" applyAlignment="1" applyProtection="1">
      <alignment wrapText="1"/>
      <protection locked="0"/>
    </xf>
    <xf numFmtId="4" fontId="6" fillId="3" borderId="2" xfId="0" applyNumberFormat="1" applyFont="1" applyFill="1" applyBorder="1" applyAlignment="1">
      <alignment horizontal="right" wrapText="1"/>
    </xf>
    <xf numFmtId="3" fontId="6" fillId="3" borderId="2" xfId="0" applyNumberFormat="1" applyFont="1" applyFill="1" applyBorder="1" applyAlignment="1">
      <alignment horizontal="right" wrapText="1"/>
    </xf>
    <xf numFmtId="0" fontId="6" fillId="3" borderId="0" xfId="0" applyFont="1" applyFill="1"/>
    <xf numFmtId="0" fontId="13" fillId="3" borderId="2" xfId="0" applyFont="1" applyFill="1" applyBorder="1" applyAlignment="1">
      <alignment horizontal="center" wrapText="1"/>
    </xf>
    <xf numFmtId="49" fontId="13" fillId="3" borderId="2" xfId="0" applyNumberFormat="1" applyFont="1" applyFill="1" applyBorder="1" applyAlignment="1">
      <alignment wrapText="1"/>
    </xf>
    <xf numFmtId="0" fontId="13" fillId="3" borderId="0" xfId="0" applyFont="1" applyFill="1" applyAlignment="1">
      <alignment horizontal="center" wrapText="1"/>
    </xf>
    <xf numFmtId="49" fontId="13" fillId="3" borderId="0" xfId="0" applyNumberFormat="1" applyFont="1" applyFill="1" applyAlignment="1">
      <alignment horizontal="center" wrapText="1"/>
    </xf>
    <xf numFmtId="0" fontId="13" fillId="3" borderId="0" xfId="0" applyFont="1" applyFill="1" applyAlignment="1">
      <alignment horizontal="center"/>
    </xf>
    <xf numFmtId="0" fontId="13" fillId="3" borderId="2" xfId="0" applyFont="1" applyFill="1" applyBorder="1" applyAlignment="1">
      <alignment horizontal="center"/>
    </xf>
    <xf numFmtId="4" fontId="13" fillId="3" borderId="0" xfId="0" applyNumberFormat="1" applyFont="1" applyFill="1" applyAlignment="1">
      <alignment horizontal="right"/>
    </xf>
    <xf numFmtId="4" fontId="13" fillId="3" borderId="2" xfId="0" applyNumberFormat="1" applyFont="1" applyFill="1" applyBorder="1" applyAlignment="1">
      <alignment horizontal="right"/>
    </xf>
    <xf numFmtId="3" fontId="13" fillId="3" borderId="2" xfId="0" applyNumberFormat="1" applyFont="1" applyFill="1" applyBorder="1" applyAlignment="1">
      <alignment horizontal="right"/>
    </xf>
    <xf numFmtId="4" fontId="13" fillId="3" borderId="2" xfId="54" applyNumberFormat="1" applyFont="1" applyFill="1" applyBorder="1" applyAlignment="1">
      <alignment horizontal="right"/>
    </xf>
    <xf numFmtId="4" fontId="13" fillId="3" borderId="2" xfId="0" applyNumberFormat="1" applyFont="1" applyFill="1" applyBorder="1"/>
    <xf numFmtId="49" fontId="13" fillId="3" borderId="2" xfId="0" applyNumberFormat="1" applyFont="1" applyFill="1" applyBorder="1" applyAlignment="1">
      <alignment horizontal="right"/>
    </xf>
    <xf numFmtId="0" fontId="14" fillId="3" borderId="0" xfId="0" applyFont="1" applyFill="1"/>
    <xf numFmtId="4" fontId="12" fillId="3" borderId="2" xfId="0" applyNumberFormat="1" applyFont="1" applyFill="1" applyBorder="1" applyAlignment="1">
      <alignment horizontal="center" wrapText="1"/>
    </xf>
    <xf numFmtId="169" fontId="12" fillId="3" borderId="2" xfId="0" applyNumberFormat="1" applyFont="1" applyFill="1" applyBorder="1" applyAlignment="1">
      <alignment horizontal="center"/>
    </xf>
    <xf numFmtId="4" fontId="12" fillId="3" borderId="2" xfId="0" applyNumberFormat="1" applyFont="1" applyFill="1" applyBorder="1" applyAlignment="1">
      <alignment horizontal="right"/>
    </xf>
    <xf numFmtId="3" fontId="12" fillId="3" borderId="2" xfId="0" applyNumberFormat="1" applyFont="1" applyFill="1" applyBorder="1" applyAlignment="1">
      <alignment horizontal="right"/>
    </xf>
    <xf numFmtId="49" fontId="12" fillId="3" borderId="2" xfId="0" applyNumberFormat="1" applyFont="1" applyFill="1" applyBorder="1" applyAlignment="1">
      <alignment horizontal="center"/>
    </xf>
    <xf numFmtId="49" fontId="6" fillId="3" borderId="2" xfId="0" applyNumberFormat="1" applyFont="1" applyFill="1" applyBorder="1" applyAlignment="1">
      <alignment horizontal="center"/>
    </xf>
    <xf numFmtId="0" fontId="6" fillId="3" borderId="2" xfId="0" applyFont="1" applyFill="1" applyBorder="1"/>
    <xf numFmtId="0" fontId="6" fillId="3" borderId="2" xfId="0" applyFont="1" applyFill="1" applyBorder="1" applyAlignment="1">
      <alignment horizontal="center" vertical="center" wrapText="1"/>
    </xf>
    <xf numFmtId="4" fontId="12" fillId="3" borderId="2" xfId="54" applyNumberFormat="1" applyFont="1" applyFill="1" applyBorder="1" applyAlignment="1">
      <alignment horizontal="right"/>
    </xf>
    <xf numFmtId="3" fontId="12" fillId="3" borderId="2" xfId="54" applyNumberFormat="1" applyFont="1" applyFill="1" applyBorder="1" applyAlignment="1">
      <alignment horizontal="right"/>
    </xf>
    <xf numFmtId="169" fontId="6" fillId="3" borderId="2" xfId="54" applyNumberFormat="1" applyFont="1" applyFill="1" applyBorder="1" applyAlignment="1">
      <alignment horizontal="right"/>
    </xf>
    <xf numFmtId="0" fontId="6" fillId="3" borderId="2" xfId="0" applyFont="1" applyFill="1" applyBorder="1" applyAlignment="1">
      <alignment horizontal="justify" wrapText="1"/>
    </xf>
    <xf numFmtId="0" fontId="6" fillId="3" borderId="2" xfId="0" applyFont="1" applyFill="1" applyBorder="1" applyAlignment="1">
      <alignment horizontal="justify"/>
    </xf>
    <xf numFmtId="0" fontId="6" fillId="3" borderId="2" xfId="0" applyFont="1" applyFill="1" applyBorder="1" applyAlignment="1">
      <alignment horizontal="left"/>
    </xf>
    <xf numFmtId="0" fontId="12" fillId="3" borderId="2" xfId="0" applyFont="1" applyFill="1" applyBorder="1" applyAlignment="1">
      <alignment horizontal="right"/>
    </xf>
    <xf numFmtId="0" fontId="6" fillId="3" borderId="2" xfId="0" applyFont="1" applyFill="1" applyBorder="1" applyAlignment="1">
      <alignment horizontal="right"/>
    </xf>
    <xf numFmtId="2" fontId="6" fillId="3" borderId="2" xfId="0" applyNumberFormat="1" applyFont="1" applyFill="1" applyBorder="1"/>
    <xf numFmtId="4" fontId="6" fillId="3" borderId="2" xfId="0" applyNumberFormat="1" applyFont="1" applyFill="1" applyBorder="1" applyAlignment="1">
      <alignment wrapText="1"/>
    </xf>
    <xf numFmtId="17" fontId="6" fillId="3" borderId="2" xfId="0" applyNumberFormat="1" applyFont="1" applyFill="1" applyBorder="1" applyAlignment="1">
      <alignment horizontal="right"/>
    </xf>
    <xf numFmtId="168" fontId="6" fillId="3" borderId="2" xfId="0" applyNumberFormat="1" applyFont="1" applyFill="1" applyBorder="1"/>
    <xf numFmtId="170" fontId="12" fillId="3" borderId="2" xfId="54" applyNumberFormat="1" applyFont="1" applyFill="1" applyBorder="1" applyAlignment="1">
      <alignment horizontal="center" wrapText="1"/>
    </xf>
    <xf numFmtId="14" fontId="12" fillId="3" borderId="2" xfId="54" applyNumberFormat="1" applyFont="1" applyFill="1" applyBorder="1" applyAlignment="1">
      <alignment horizontal="center" wrapText="1"/>
    </xf>
    <xf numFmtId="49" fontId="12" fillId="3" borderId="2" xfId="54" applyNumberFormat="1" applyFont="1" applyFill="1" applyBorder="1" applyAlignment="1">
      <alignment horizontal="center" wrapText="1"/>
    </xf>
    <xf numFmtId="170" fontId="12" fillId="3" borderId="2" xfId="54" applyNumberFormat="1" applyFont="1" applyFill="1" applyBorder="1" applyAlignment="1">
      <alignment horizontal="center"/>
    </xf>
    <xf numFmtId="49" fontId="6" fillId="3" borderId="2" xfId="17" applyNumberFormat="1" applyFont="1" applyFill="1" applyBorder="1" applyAlignment="1">
      <alignment wrapText="1"/>
    </xf>
    <xf numFmtId="4" fontId="6" fillId="3" borderId="2" xfId="54" applyNumberFormat="1" applyFont="1" applyFill="1" applyBorder="1"/>
    <xf numFmtId="4" fontId="12" fillId="3" borderId="2" xfId="54" applyNumberFormat="1" applyFont="1" applyFill="1" applyBorder="1"/>
    <xf numFmtId="3" fontId="12" fillId="3" borderId="2" xfId="54" applyNumberFormat="1" applyFont="1" applyFill="1" applyBorder="1"/>
    <xf numFmtId="49" fontId="6" fillId="3" borderId="2" xfId="54" applyNumberFormat="1" applyFont="1" applyFill="1" applyBorder="1" applyAlignment="1">
      <alignment horizontal="right"/>
    </xf>
    <xf numFmtId="4" fontId="6" fillId="3" borderId="2" xfId="54" applyNumberFormat="1" applyFont="1" applyFill="1" applyBorder="1" applyAlignment="1">
      <alignment wrapText="1"/>
    </xf>
    <xf numFmtId="171" fontId="6" fillId="3" borderId="2" xfId="0" applyNumberFormat="1" applyFont="1" applyFill="1" applyBorder="1" applyAlignment="1">
      <alignment horizontal="right"/>
    </xf>
    <xf numFmtId="2" fontId="6" fillId="3" borderId="2" xfId="0" applyNumberFormat="1" applyFont="1" applyFill="1" applyBorder="1" applyAlignment="1">
      <alignment horizontal="right"/>
    </xf>
    <xf numFmtId="1" fontId="6" fillId="3" borderId="2" xfId="0" applyNumberFormat="1" applyFont="1" applyFill="1" applyBorder="1" applyAlignment="1">
      <alignment horizontal="right"/>
    </xf>
    <xf numFmtId="1" fontId="6" fillId="3" borderId="2" xfId="0" applyNumberFormat="1" applyFont="1" applyFill="1" applyBorder="1" applyAlignment="1">
      <alignment horizontal="center" wrapText="1"/>
    </xf>
    <xf numFmtId="169" fontId="6" fillId="3" borderId="2" xfId="0" applyNumberFormat="1" applyFont="1" applyFill="1" applyBorder="1" applyAlignment="1">
      <alignment horizontal="right"/>
    </xf>
    <xf numFmtId="169" fontId="6" fillId="3" borderId="2" xfId="0" applyNumberFormat="1" applyFont="1" applyFill="1" applyBorder="1" applyAlignment="1">
      <alignment wrapText="1"/>
    </xf>
    <xf numFmtId="0" fontId="6" fillId="3" borderId="2" xfId="48" applyFont="1" applyFill="1" applyBorder="1" applyAlignment="1">
      <alignment horizontal="center" wrapText="1"/>
    </xf>
    <xf numFmtId="0" fontId="12" fillId="3" borderId="3" xfId="0" applyFont="1" applyFill="1" applyBorder="1"/>
    <xf numFmtId="49" fontId="6" fillId="3" borderId="2" xfId="54" applyNumberFormat="1" applyFont="1" applyFill="1" applyBorder="1" applyAlignment="1">
      <alignment horizontal="center" wrapText="1"/>
    </xf>
    <xf numFmtId="49" fontId="6" fillId="3" borderId="2" xfId="54" applyNumberFormat="1" applyFont="1" applyFill="1" applyBorder="1" applyAlignment="1">
      <alignment horizontal="center"/>
    </xf>
    <xf numFmtId="4" fontId="6" fillId="3" borderId="2" xfId="54" applyNumberFormat="1" applyFont="1" applyFill="1" applyBorder="1" applyAlignment="1">
      <alignment horizontal="right" wrapText="1"/>
    </xf>
    <xf numFmtId="0" fontId="8" fillId="3" borderId="0" xfId="0" applyFont="1" applyFill="1" applyProtection="1">
      <protection locked="0"/>
    </xf>
    <xf numFmtId="172" fontId="6" fillId="3" borderId="2" xfId="0" applyNumberFormat="1" applyFont="1" applyFill="1" applyBorder="1" applyAlignment="1">
      <alignment horizontal="left" wrapText="1"/>
    </xf>
    <xf numFmtId="0" fontId="10" fillId="2" borderId="0" xfId="0" applyFont="1" applyFill="1"/>
    <xf numFmtId="49" fontId="10" fillId="2" borderId="2" xfId="0" applyNumberFormat="1" applyFont="1" applyFill="1" applyBorder="1" applyAlignment="1">
      <alignment horizontal="center" wrapText="1"/>
    </xf>
    <xf numFmtId="0" fontId="10" fillId="2" borderId="2" xfId="0" applyFont="1" applyFill="1" applyBorder="1" applyAlignment="1">
      <alignment horizontal="center"/>
    </xf>
    <xf numFmtId="4" fontId="10" fillId="2" borderId="2" xfId="0" applyNumberFormat="1" applyFont="1" applyFill="1" applyBorder="1"/>
    <xf numFmtId="3" fontId="10" fillId="2" borderId="2" xfId="0" applyNumberFormat="1" applyFont="1" applyFill="1" applyBorder="1"/>
    <xf numFmtId="4" fontId="10" fillId="2" borderId="2" xfId="0" applyNumberFormat="1" applyFont="1" applyFill="1" applyBorder="1" applyAlignment="1">
      <alignment horizontal="right"/>
    </xf>
    <xf numFmtId="0" fontId="10" fillId="2" borderId="2" xfId="0" applyFont="1" applyFill="1" applyBorder="1" applyAlignment="1">
      <alignment horizontal="right"/>
    </xf>
    <xf numFmtId="0" fontId="0" fillId="3" borderId="0" xfId="0" applyFill="1"/>
    <xf numFmtId="4" fontId="8" fillId="3" borderId="0" xfId="0" applyNumberFormat="1" applyFont="1" applyFill="1"/>
    <xf numFmtId="4" fontId="6" fillId="3" borderId="0" xfId="0" applyNumberFormat="1" applyFont="1" applyFill="1"/>
    <xf numFmtId="0" fontId="6" fillId="3" borderId="0" xfId="0" applyFont="1" applyFill="1" applyAlignment="1">
      <alignment horizontal="center" wrapText="1"/>
    </xf>
    <xf numFmtId="49" fontId="6" fillId="3" borderId="0" xfId="0" applyNumberFormat="1" applyFont="1" applyFill="1" applyAlignment="1">
      <alignment horizontal="center" wrapText="1"/>
    </xf>
    <xf numFmtId="0" fontId="6" fillId="3" borderId="0" xfId="0" applyFont="1" applyFill="1" applyAlignment="1">
      <alignment horizontal="center"/>
    </xf>
    <xf numFmtId="4" fontId="6" fillId="3" borderId="0" xfId="0" applyNumberFormat="1" applyFont="1" applyFill="1" applyAlignment="1">
      <alignment horizontal="right"/>
    </xf>
    <xf numFmtId="4" fontId="12" fillId="3" borderId="2" xfId="0" applyNumberFormat="1" applyFont="1" applyFill="1" applyBorder="1" applyAlignment="1">
      <alignment horizontal="right" wrapText="1"/>
    </xf>
    <xf numFmtId="3" fontId="12" fillId="3" borderId="2" xfId="0" applyNumberFormat="1" applyFont="1" applyFill="1" applyBorder="1" applyAlignment="1">
      <alignment horizontal="right" wrapText="1"/>
    </xf>
    <xf numFmtId="12" fontId="6" fillId="3" borderId="2" xfId="0" applyNumberFormat="1" applyFont="1" applyFill="1" applyBorder="1" applyAlignment="1">
      <alignment horizontal="center"/>
    </xf>
    <xf numFmtId="4" fontId="12" fillId="3" borderId="2" xfId="0" applyNumberFormat="1" applyFont="1" applyFill="1" applyBorder="1" applyAlignment="1">
      <alignment wrapText="1"/>
    </xf>
    <xf numFmtId="3" fontId="12" fillId="3" borderId="2" xfId="0" applyNumberFormat="1" applyFont="1" applyFill="1" applyBorder="1" applyAlignment="1">
      <alignment wrapText="1"/>
    </xf>
    <xf numFmtId="14" fontId="12" fillId="3" borderId="2" xfId="54" applyNumberFormat="1" applyFont="1" applyFill="1" applyBorder="1" applyAlignment="1">
      <alignment horizontal="center"/>
    </xf>
    <xf numFmtId="4" fontId="12" fillId="3" borderId="2" xfId="54" applyNumberFormat="1" applyFont="1" applyFill="1" applyBorder="1" applyAlignment="1">
      <alignment horizontal="center"/>
    </xf>
    <xf numFmtId="14" fontId="12" fillId="3" borderId="2" xfId="54" applyNumberFormat="1" applyFont="1" applyFill="1" applyBorder="1" applyAlignment="1">
      <alignment horizontal="center" wrapText="1"/>
    </xf>
    <xf numFmtId="0" fontId="10" fillId="4" borderId="0" xfId="0" applyFont="1" applyFill="1"/>
    <xf numFmtId="0" fontId="10" fillId="4" borderId="2" xfId="0" applyFont="1" applyFill="1" applyBorder="1" applyAlignment="1">
      <alignment horizontal="center" wrapText="1"/>
    </xf>
    <xf numFmtId="49" fontId="10" fillId="4" borderId="2" xfId="0" applyNumberFormat="1" applyFont="1" applyFill="1" applyBorder="1" applyAlignment="1">
      <alignment horizontal="center" wrapText="1"/>
    </xf>
    <xf numFmtId="0" fontId="10" fillId="4" borderId="2" xfId="0" applyFont="1" applyFill="1" applyBorder="1" applyAlignment="1">
      <alignment horizontal="center"/>
    </xf>
    <xf numFmtId="4" fontId="10" fillId="4" borderId="2" xfId="0" applyNumberFormat="1" applyFont="1" applyFill="1" applyBorder="1"/>
    <xf numFmtId="3" fontId="10" fillId="4" borderId="2" xfId="0" applyNumberFormat="1" applyFont="1" applyFill="1" applyBorder="1"/>
    <xf numFmtId="4" fontId="10" fillId="4" borderId="2" xfId="0" applyNumberFormat="1" applyFont="1" applyFill="1" applyBorder="1" applyAlignment="1">
      <alignment horizontal="right"/>
    </xf>
    <xf numFmtId="0" fontId="10" fillId="4" borderId="2" xfId="0" applyFont="1" applyFill="1" applyBorder="1" applyAlignment="1">
      <alignment horizontal="right"/>
    </xf>
    <xf numFmtId="14" fontId="12" fillId="3" borderId="2" xfId="0" applyNumberFormat="1" applyFont="1" applyFill="1" applyBorder="1" applyAlignment="1">
      <alignment horizontal="center" wrapText="1"/>
    </xf>
    <xf numFmtId="14" fontId="12" fillId="3" borderId="2" xfId="0" applyNumberFormat="1" applyFont="1" applyFill="1" applyBorder="1" applyAlignment="1">
      <alignment horizontal="center"/>
    </xf>
    <xf numFmtId="4" fontId="12" fillId="3" borderId="2" xfId="54" applyNumberFormat="1" applyFont="1" applyFill="1" applyBorder="1" applyAlignment="1">
      <alignment horizontal="right" wrapText="1"/>
    </xf>
    <xf numFmtId="3" fontId="12" fillId="3" borderId="2" xfId="54" applyNumberFormat="1" applyFont="1" applyFill="1" applyBorder="1" applyAlignment="1">
      <alignment horizontal="right" wrapText="1"/>
    </xf>
    <xf numFmtId="4" fontId="12" fillId="3" borderId="2" xfId="54" applyNumberFormat="1" applyFont="1" applyFill="1" applyBorder="1" applyAlignment="1">
      <alignment wrapText="1"/>
    </xf>
    <xf numFmtId="3" fontId="12" fillId="3" borderId="2" xfId="54" applyNumberFormat="1" applyFont="1" applyFill="1" applyBorder="1" applyAlignment="1">
      <alignment wrapText="1"/>
    </xf>
    <xf numFmtId="170" fontId="6" fillId="3" borderId="2" xfId="54" applyNumberFormat="1" applyFont="1" applyFill="1" applyBorder="1" applyAlignment="1">
      <alignment horizontal="center" wrapText="1"/>
    </xf>
    <xf numFmtId="1" fontId="6" fillId="3" borderId="2" xfId="54" applyNumberFormat="1" applyFont="1" applyFill="1" applyBorder="1" applyAlignment="1">
      <alignment horizontal="center"/>
    </xf>
    <xf numFmtId="3" fontId="6" fillId="3" borderId="2" xfId="54" applyNumberFormat="1" applyFont="1" applyFill="1" applyBorder="1" applyAlignment="1">
      <alignment horizontal="right"/>
    </xf>
    <xf numFmtId="49" fontId="6" fillId="3" borderId="0" xfId="0" applyNumberFormat="1" applyFont="1" applyFill="1" applyAlignment="1">
      <alignment wrapText="1"/>
    </xf>
    <xf numFmtId="3" fontId="6" fillId="3" borderId="0" xfId="0" applyNumberFormat="1" applyFont="1" applyFill="1" applyAlignment="1">
      <alignment horizontal="right"/>
    </xf>
    <xf numFmtId="4" fontId="6" fillId="3" borderId="0" xfId="54" applyNumberFormat="1" applyFont="1" applyFill="1" applyAlignment="1">
      <alignment horizontal="right"/>
    </xf>
    <xf numFmtId="49" fontId="6" fillId="3" borderId="0" xfId="0" applyNumberFormat="1" applyFont="1" applyFill="1" applyAlignment="1">
      <alignment horizontal="right"/>
    </xf>
    <xf numFmtId="49" fontId="8" fillId="3" borderId="0" xfId="0" applyNumberFormat="1" applyFont="1" applyFill="1"/>
    <xf numFmtId="0" fontId="8" fillId="5" borderId="0" xfId="0" applyFont="1" applyFill="1"/>
    <xf numFmtId="0" fontId="12" fillId="5" borderId="0" xfId="0" applyFont="1" applyFill="1" applyAlignment="1">
      <alignment wrapText="1"/>
    </xf>
    <xf numFmtId="0" fontId="12" fillId="5" borderId="0" xfId="0" applyFont="1" applyFill="1"/>
    <xf numFmtId="4" fontId="8" fillId="5" borderId="0" xfId="0" applyNumberFormat="1" applyFont="1" applyFill="1"/>
    <xf numFmtId="4" fontId="16" fillId="5" borderId="0" xfId="0" applyNumberFormat="1" applyFont="1" applyFill="1"/>
    <xf numFmtId="0" fontId="16" fillId="5" borderId="0" xfId="0" applyFont="1" applyFill="1"/>
    <xf numFmtId="49" fontId="12" fillId="3" borderId="2" xfId="0" applyNumberFormat="1" applyFont="1" applyFill="1" applyBorder="1" applyAlignment="1">
      <alignment horizontal="right"/>
    </xf>
    <xf numFmtId="3" fontId="6" fillId="3" borderId="2" xfId="0" applyNumberFormat="1" applyFont="1" applyFill="1" applyBorder="1" applyAlignment="1">
      <alignment wrapText="1"/>
    </xf>
    <xf numFmtId="0" fontId="6" fillId="3" borderId="2" xfId="0" applyFont="1" applyFill="1" applyBorder="1" applyAlignment="1">
      <alignment horizontal="right" wrapText="1"/>
    </xf>
    <xf numFmtId="0" fontId="6" fillId="3" borderId="2" xfId="0" applyFont="1" applyFill="1" applyBorder="1" applyAlignment="1" applyProtection="1">
      <alignment wrapText="1"/>
      <protection locked="0"/>
    </xf>
    <xf numFmtId="0" fontId="12" fillId="3" borderId="2" xfId="0" applyFont="1" applyFill="1" applyBorder="1" applyAlignment="1">
      <alignment horizontal="right" wrapText="1"/>
    </xf>
    <xf numFmtId="49" fontId="6" fillId="3" borderId="2" xfId="0" applyNumberFormat="1" applyFont="1" applyFill="1" applyBorder="1" applyAlignment="1">
      <alignment horizontal="right" wrapText="1"/>
    </xf>
    <xf numFmtId="0" fontId="12" fillId="3" borderId="0" xfId="0" applyFont="1" applyFill="1" applyAlignment="1">
      <alignment horizontal="center" wrapText="1"/>
    </xf>
    <xf numFmtId="49" fontId="12" fillId="3" borderId="0" xfId="0" applyNumberFormat="1" applyFont="1" applyFill="1" applyAlignment="1">
      <alignment horizontal="center"/>
    </xf>
    <xf numFmtId="0" fontId="12" fillId="3" borderId="0" xfId="0" applyFont="1" applyFill="1" applyAlignment="1">
      <alignment horizontal="center"/>
    </xf>
    <xf numFmtId="4" fontId="12" fillId="3" borderId="0" xfId="0" applyNumberFormat="1" applyFont="1" applyFill="1" applyAlignment="1">
      <alignment horizontal="right"/>
    </xf>
    <xf numFmtId="0" fontId="17" fillId="5" borderId="0" xfId="0" applyFont="1" applyFill="1"/>
    <xf numFmtId="0" fontId="6" fillId="0" borderId="7" xfId="0" applyFont="1" applyBorder="1" applyAlignment="1">
      <alignment horizontal="center" vertical="center" wrapText="1"/>
    </xf>
    <xf numFmtId="0" fontId="8" fillId="2" borderId="0" xfId="0" applyFont="1" applyFill="1"/>
    <xf numFmtId="0" fontId="6" fillId="2" borderId="7" xfId="0" applyFont="1" applyFill="1" applyBorder="1"/>
    <xf numFmtId="0" fontId="10" fillId="2" borderId="7" xfId="0" applyFont="1" applyFill="1" applyBorder="1" applyAlignment="1">
      <alignment horizontal="center" wrapText="1"/>
    </xf>
    <xf numFmtId="0" fontId="6" fillId="2" borderId="7" xfId="0" applyFont="1" applyFill="1" applyBorder="1" applyAlignment="1">
      <alignment wrapText="1"/>
    </xf>
    <xf numFmtId="0" fontId="17" fillId="0" borderId="0" xfId="0" applyFont="1"/>
    <xf numFmtId="0" fontId="12" fillId="0" borderId="7" xfId="0" applyFont="1" applyBorder="1"/>
    <xf numFmtId="0" fontId="12" fillId="0" borderId="7" xfId="0" applyFont="1" applyBorder="1" applyAlignment="1">
      <alignment wrapText="1"/>
    </xf>
    <xf numFmtId="4" fontId="12" fillId="0" borderId="7" xfId="0" applyNumberFormat="1" applyFont="1" applyBorder="1" applyAlignment="1">
      <alignment wrapText="1"/>
    </xf>
    <xf numFmtId="3" fontId="12" fillId="0" borderId="7" xfId="0" applyNumberFormat="1" applyFont="1" applyBorder="1" applyAlignment="1">
      <alignment wrapText="1"/>
    </xf>
    <xf numFmtId="0" fontId="6" fillId="5" borderId="7" xfId="0" applyFont="1" applyFill="1" applyBorder="1" applyAlignment="1">
      <alignment horizontal="center"/>
    </xf>
    <xf numFmtId="0" fontId="6" fillId="5" borderId="7" xfId="0" applyFont="1" applyFill="1" applyBorder="1" applyAlignment="1">
      <alignment wrapText="1"/>
    </xf>
    <xf numFmtId="4" fontId="6" fillId="5" borderId="7" xfId="0" applyNumberFormat="1" applyFont="1" applyFill="1" applyBorder="1" applyAlignment="1">
      <alignment wrapText="1"/>
    </xf>
    <xf numFmtId="3" fontId="6" fillId="5" borderId="7" xfId="0" applyNumberFormat="1" applyFont="1" applyFill="1" applyBorder="1" applyAlignment="1">
      <alignment wrapText="1"/>
    </xf>
    <xf numFmtId="3" fontId="6" fillId="3" borderId="7" xfId="0" applyNumberFormat="1" applyFont="1" applyFill="1" applyBorder="1" applyAlignment="1">
      <alignment wrapText="1"/>
    </xf>
    <xf numFmtId="0" fontId="6" fillId="3" borderId="7" xfId="0" applyFont="1" applyFill="1" applyBorder="1" applyAlignment="1">
      <alignment wrapText="1"/>
    </xf>
    <xf numFmtId="4" fontId="6" fillId="3" borderId="7" xfId="0" applyNumberFormat="1" applyFont="1" applyFill="1" applyBorder="1" applyAlignment="1">
      <alignment wrapText="1"/>
    </xf>
    <xf numFmtId="0" fontId="6" fillId="3" borderId="7" xfId="0" applyFont="1" applyFill="1" applyBorder="1" applyAlignment="1">
      <alignment horizontal="center"/>
    </xf>
    <xf numFmtId="4" fontId="6" fillId="3" borderId="0" xfId="0" applyNumberFormat="1" applyFont="1" applyFill="1" applyAlignment="1">
      <alignment wrapText="1"/>
    </xf>
    <xf numFmtId="3" fontId="6" fillId="3" borderId="0" xfId="0" applyNumberFormat="1" applyFont="1" applyFill="1" applyAlignment="1">
      <alignment wrapText="1"/>
    </xf>
    <xf numFmtId="0" fontId="18" fillId="2" borderId="0" xfId="0" applyFont="1" applyFill="1"/>
    <xf numFmtId="0" fontId="10" fillId="2" borderId="7" xfId="0" applyFont="1" applyFill="1" applyBorder="1" applyAlignment="1">
      <alignment horizontal="center"/>
    </xf>
    <xf numFmtId="4" fontId="10" fillId="2" borderId="7" xfId="0" applyNumberFormat="1" applyFont="1" applyFill="1" applyBorder="1" applyAlignment="1">
      <alignment wrapText="1"/>
    </xf>
    <xf numFmtId="3" fontId="10" fillId="2" borderId="7" xfId="0" applyNumberFormat="1" applyFont="1" applyFill="1" applyBorder="1" applyAlignment="1">
      <alignment wrapText="1"/>
    </xf>
    <xf numFmtId="0" fontId="17" fillId="3" borderId="0" xfId="0" applyFont="1" applyFill="1"/>
    <xf numFmtId="0" fontId="12" fillId="3" borderId="7" xfId="0" applyFont="1" applyFill="1" applyBorder="1" applyAlignment="1">
      <alignment horizontal="center"/>
    </xf>
    <xf numFmtId="0" fontId="12" fillId="3" borderId="7" xfId="0" applyFont="1" applyFill="1" applyBorder="1" applyAlignment="1">
      <alignment wrapText="1"/>
    </xf>
    <xf numFmtId="4" fontId="12" fillId="3" borderId="7" xfId="0" applyNumberFormat="1" applyFont="1" applyFill="1" applyBorder="1" applyAlignment="1">
      <alignment wrapText="1"/>
    </xf>
    <xf numFmtId="3" fontId="12" fillId="3" borderId="7" xfId="0" applyNumberFormat="1" applyFont="1" applyFill="1" applyBorder="1" applyAlignment="1">
      <alignment wrapText="1"/>
    </xf>
    <xf numFmtId="4" fontId="6" fillId="5" borderId="0" xfId="0" applyNumberFormat="1" applyFont="1" applyFill="1" applyAlignment="1">
      <alignment wrapText="1"/>
    </xf>
    <xf numFmtId="3" fontId="6" fillId="5" borderId="0" xfId="0" applyNumberFormat="1" applyFont="1" applyFill="1" applyAlignment="1">
      <alignment wrapText="1"/>
    </xf>
    <xf numFmtId="4" fontId="6" fillId="5" borderId="8" xfId="0" applyNumberFormat="1" applyFont="1" applyFill="1" applyBorder="1" applyAlignment="1">
      <alignment wrapText="1"/>
    </xf>
    <xf numFmtId="3" fontId="6" fillId="5" borderId="8" xfId="0" applyNumberFormat="1" applyFont="1" applyFill="1" applyBorder="1" applyAlignment="1">
      <alignment wrapText="1"/>
    </xf>
    <xf numFmtId="0" fontId="6" fillId="5" borderId="9" xfId="0" applyFont="1" applyFill="1" applyBorder="1" applyAlignment="1">
      <alignment wrapText="1"/>
    </xf>
    <xf numFmtId="4" fontId="6" fillId="5" borderId="10" xfId="0" applyNumberFormat="1" applyFont="1" applyFill="1" applyBorder="1" applyAlignment="1">
      <alignment wrapText="1"/>
    </xf>
    <xf numFmtId="3" fontId="6" fillId="5" borderId="10" xfId="0" applyNumberFormat="1" applyFont="1" applyFill="1" applyBorder="1" applyAlignment="1">
      <alignment wrapText="1"/>
    </xf>
    <xf numFmtId="4" fontId="6" fillId="5" borderId="4" xfId="0" applyNumberFormat="1" applyFont="1" applyFill="1" applyBorder="1" applyAlignment="1">
      <alignment wrapText="1"/>
    </xf>
    <xf numFmtId="3" fontId="6" fillId="5" borderId="4" xfId="0" applyNumberFormat="1" applyFont="1" applyFill="1" applyBorder="1" applyAlignment="1">
      <alignment wrapText="1"/>
    </xf>
    <xf numFmtId="4" fontId="6" fillId="5" borderId="11" xfId="0" applyNumberFormat="1" applyFont="1" applyFill="1" applyBorder="1" applyAlignment="1">
      <alignment wrapText="1"/>
    </xf>
    <xf numFmtId="3" fontId="6" fillId="5" borderId="11" xfId="0" applyNumberFormat="1" applyFont="1" applyFill="1" applyBorder="1" applyAlignment="1">
      <alignment wrapText="1"/>
    </xf>
    <xf numFmtId="0" fontId="12" fillId="5" borderId="7" xfId="0" applyFont="1" applyFill="1" applyBorder="1" applyAlignment="1">
      <alignment horizontal="center"/>
    </xf>
    <xf numFmtId="0" fontId="12" fillId="5" borderId="7" xfId="0" applyFont="1" applyFill="1" applyBorder="1" applyAlignment="1">
      <alignment wrapText="1"/>
    </xf>
    <xf numFmtId="4" fontId="12" fillId="5" borderId="7" xfId="0" applyNumberFormat="1" applyFont="1" applyFill="1" applyBorder="1" applyAlignment="1">
      <alignment wrapText="1"/>
    </xf>
    <xf numFmtId="3" fontId="12" fillId="5" borderId="7" xfId="0" applyNumberFormat="1" applyFont="1" applyFill="1" applyBorder="1" applyAlignment="1">
      <alignment wrapText="1"/>
    </xf>
    <xf numFmtId="3" fontId="6" fillId="5" borderId="7" xfId="0" applyNumberFormat="1" applyFont="1" applyFill="1" applyBorder="1"/>
    <xf numFmtId="0" fontId="6" fillId="5" borderId="0" xfId="0" applyFont="1" applyFill="1" applyAlignment="1">
      <alignment horizontal="center"/>
    </xf>
    <xf numFmtId="0" fontId="6" fillId="5" borderId="0" xfId="0" applyFont="1" applyFill="1" applyAlignment="1">
      <alignment wrapText="1"/>
    </xf>
    <xf numFmtId="0" fontId="9" fillId="5" borderId="0" xfId="0" applyFont="1" applyFill="1" applyAlignment="1">
      <alignment wrapText="1"/>
    </xf>
    <xf numFmtId="0" fontId="19" fillId="5" borderId="0" xfId="0" applyFont="1" applyFill="1"/>
    <xf numFmtId="0" fontId="18" fillId="5" borderId="0" xfId="0" applyFont="1" applyFill="1"/>
    <xf numFmtId="0" fontId="12" fillId="5" borderId="7" xfId="0" applyFont="1" applyFill="1" applyBorder="1" applyAlignment="1">
      <alignment horizontal="center" wrapText="1"/>
    </xf>
    <xf numFmtId="0" fontId="6" fillId="5" borderId="7" xfId="0" applyFont="1" applyFill="1" applyBorder="1" applyAlignment="1">
      <alignment horizontal="center" wrapText="1"/>
    </xf>
    <xf numFmtId="0" fontId="6" fillId="0" borderId="7" xfId="0" applyFont="1" applyBorder="1" applyAlignment="1">
      <alignment wrapText="1"/>
    </xf>
    <xf numFmtId="0" fontId="6" fillId="3" borderId="9" xfId="0" applyFont="1" applyFill="1" applyBorder="1" applyAlignment="1">
      <alignment wrapText="1"/>
    </xf>
    <xf numFmtId="4" fontId="6" fillId="5" borderId="2" xfId="0" applyNumberFormat="1" applyFont="1" applyFill="1" applyBorder="1" applyAlignment="1">
      <alignment wrapText="1"/>
    </xf>
    <xf numFmtId="3" fontId="6" fillId="5" borderId="2" xfId="0" applyNumberFormat="1" applyFont="1" applyFill="1" applyBorder="1" applyAlignment="1">
      <alignment wrapText="1"/>
    </xf>
    <xf numFmtId="4" fontId="6" fillId="5" borderId="6" xfId="0" applyNumberFormat="1" applyFont="1" applyFill="1" applyBorder="1" applyAlignment="1">
      <alignment wrapText="1"/>
    </xf>
    <xf numFmtId="4" fontId="6" fillId="5" borderId="1" xfId="0" applyNumberFormat="1" applyFont="1" applyFill="1" applyBorder="1" applyAlignment="1">
      <alignment wrapText="1"/>
    </xf>
    <xf numFmtId="3" fontId="6" fillId="5" borderId="1" xfId="0" applyNumberFormat="1" applyFont="1" applyFill="1" applyBorder="1" applyAlignment="1">
      <alignment wrapText="1"/>
    </xf>
    <xf numFmtId="4" fontId="6" fillId="5" borderId="3" xfId="0" applyNumberFormat="1" applyFont="1" applyFill="1" applyBorder="1" applyAlignment="1">
      <alignment wrapText="1"/>
    </xf>
    <xf numFmtId="0" fontId="6" fillId="0" borderId="0" xfId="0" applyFont="1" applyAlignment="1" applyProtection="1">
      <alignment wrapText="1"/>
      <protection locked="0"/>
    </xf>
    <xf numFmtId="4" fontId="6" fillId="0" borderId="0" xfId="0" applyNumberFormat="1" applyFont="1" applyAlignment="1" applyProtection="1">
      <alignment wrapText="1"/>
      <protection locked="0"/>
    </xf>
    <xf numFmtId="0" fontId="0" fillId="0" borderId="0" xfId="0" applyProtection="1">
      <protection locked="0"/>
    </xf>
    <xf numFmtId="0" fontId="20" fillId="0" borderId="0" xfId="0" applyFont="1"/>
    <xf numFmtId="0" fontId="20" fillId="0" borderId="0" xfId="0" applyFont="1" applyProtection="1">
      <protection locked="0"/>
    </xf>
    <xf numFmtId="0" fontId="6" fillId="0" borderId="2" xfId="0" applyFont="1" applyBorder="1" applyAlignment="1" applyProtection="1">
      <alignment horizontal="center" vertical="center" wrapText="1"/>
      <protection locked="0"/>
    </xf>
    <xf numFmtId="4" fontId="6" fillId="0" borderId="2" xfId="0" applyNumberFormat="1" applyFont="1" applyBorder="1" applyAlignment="1" applyProtection="1">
      <alignment horizontal="center" vertical="center" wrapText="1"/>
      <protection locked="0"/>
    </xf>
    <xf numFmtId="3" fontId="6" fillId="0" borderId="2" xfId="0" applyNumberFormat="1" applyFont="1" applyBorder="1" applyAlignment="1" applyProtection="1">
      <alignment horizontal="center" vertical="center" wrapText="1"/>
      <protection locked="0"/>
    </xf>
    <xf numFmtId="0" fontId="21" fillId="2" borderId="0" xfId="0" applyFont="1" applyFill="1"/>
    <xf numFmtId="4" fontId="6" fillId="2" borderId="2" xfId="0" applyNumberFormat="1" applyFont="1" applyFill="1" applyBorder="1" applyAlignment="1" applyProtection="1">
      <alignment wrapText="1"/>
      <protection locked="0"/>
    </xf>
    <xf numFmtId="0" fontId="21" fillId="2" borderId="0" xfId="0" applyFont="1" applyFill="1" applyProtection="1">
      <protection locked="0"/>
    </xf>
    <xf numFmtId="4" fontId="12" fillId="5" borderId="2" xfId="0" applyNumberFormat="1" applyFont="1" applyFill="1" applyBorder="1" applyAlignment="1" applyProtection="1">
      <alignment wrapText="1"/>
      <protection locked="0"/>
    </xf>
    <xf numFmtId="3" fontId="12" fillId="5" borderId="2" xfId="0" applyNumberFormat="1" applyFont="1" applyFill="1" applyBorder="1" applyAlignment="1" applyProtection="1">
      <alignment wrapText="1"/>
      <protection locked="0"/>
    </xf>
    <xf numFmtId="0" fontId="17" fillId="5" borderId="0" xfId="0" applyFont="1" applyFill="1" applyProtection="1">
      <protection locked="0"/>
    </xf>
    <xf numFmtId="4" fontId="12" fillId="3" borderId="2" xfId="0" applyNumberFormat="1" applyFont="1" applyFill="1" applyBorder="1" applyAlignment="1" applyProtection="1">
      <alignment wrapText="1"/>
      <protection locked="0"/>
    </xf>
    <xf numFmtId="3" fontId="12" fillId="3" borderId="2" xfId="0" applyNumberFormat="1" applyFont="1" applyFill="1" applyBorder="1" applyAlignment="1" applyProtection="1">
      <alignment wrapText="1"/>
      <protection locked="0"/>
    </xf>
    <xf numFmtId="0" fontId="17" fillId="3" borderId="0" xfId="0" applyFont="1" applyFill="1" applyProtection="1">
      <protection locked="0"/>
    </xf>
    <xf numFmtId="0" fontId="12" fillId="3" borderId="0" xfId="0" applyFont="1" applyFill="1" applyProtection="1">
      <protection locked="0"/>
    </xf>
    <xf numFmtId="3" fontId="6" fillId="3" borderId="2" xfId="54" applyNumberFormat="1" applyFont="1" applyFill="1" applyBorder="1" applyAlignment="1">
      <alignment wrapText="1"/>
    </xf>
    <xf numFmtId="4" fontId="6" fillId="3" borderId="2" xfId="0" applyNumberFormat="1" applyFont="1" applyFill="1" applyBorder="1" applyAlignment="1" applyProtection="1">
      <alignment wrapText="1"/>
      <protection locked="0"/>
    </xf>
    <xf numFmtId="3" fontId="6" fillId="3" borderId="2" xfId="0" applyNumberFormat="1" applyFont="1" applyFill="1" applyBorder="1" applyAlignment="1" applyProtection="1">
      <alignment wrapText="1"/>
      <protection locked="0"/>
    </xf>
    <xf numFmtId="0" fontId="8" fillId="3" borderId="0" xfId="0" applyFont="1" applyFill="1" applyProtection="1">
      <protection locked="0"/>
    </xf>
    <xf numFmtId="49" fontId="13" fillId="3" borderId="2" xfId="0" applyNumberFormat="1" applyFont="1" applyFill="1" applyBorder="1" applyAlignment="1">
      <alignment horizontal="left" wrapText="1"/>
    </xf>
    <xf numFmtId="4" fontId="13" fillId="3" borderId="0" xfId="0" applyNumberFormat="1" applyFont="1" applyFill="1" applyAlignment="1">
      <alignment wrapText="1"/>
    </xf>
    <xf numFmtId="4" fontId="13" fillId="3" borderId="2" xfId="0" applyNumberFormat="1" applyFont="1" applyFill="1" applyBorder="1" applyAlignment="1">
      <alignment wrapText="1"/>
    </xf>
    <xf numFmtId="4" fontId="13" fillId="3" borderId="2" xfId="54" applyNumberFormat="1" applyFont="1" applyFill="1" applyBorder="1" applyAlignment="1">
      <alignment wrapText="1"/>
    </xf>
    <xf numFmtId="3" fontId="13" fillId="3" borderId="2" xfId="0" applyNumberFormat="1" applyFont="1" applyFill="1" applyBorder="1" applyAlignment="1">
      <alignment wrapText="1"/>
    </xf>
    <xf numFmtId="0" fontId="22" fillId="3" borderId="0" xfId="0" applyFont="1" applyFill="1" applyProtection="1">
      <protection locked="0"/>
    </xf>
    <xf numFmtId="0" fontId="22" fillId="3" borderId="0" xfId="0" applyFont="1" applyFill="1"/>
    <xf numFmtId="4" fontId="23" fillId="3" borderId="2" xfId="43" applyNumberFormat="1" applyFont="1" applyFill="1" applyBorder="1" applyAlignment="1">
      <alignment wrapText="1"/>
    </xf>
    <xf numFmtId="0" fontId="12" fillId="3" borderId="0" xfId="0" applyFont="1" applyFill="1" applyProtection="1"/>
    <xf numFmtId="0" fontId="6" fillId="3" borderId="0" xfId="0" applyFont="1" applyFill="1" applyProtection="1"/>
    <xf numFmtId="0" fontId="6" fillId="3" borderId="0" xfId="0" applyFont="1" applyFill="1" applyProtection="1">
      <protection locked="0"/>
    </xf>
    <xf numFmtId="4" fontId="6" fillId="3" borderId="2" xfId="248" applyNumberFormat="1" applyFont="1" applyFill="1" applyBorder="1" applyAlignment="1">
      <alignment wrapText="1"/>
    </xf>
    <xf numFmtId="4" fontId="6" fillId="3" borderId="2" xfId="17" applyNumberFormat="1" applyFont="1" applyFill="1" applyBorder="1" applyAlignment="1">
      <alignment wrapText="1"/>
    </xf>
    <xf numFmtId="3" fontId="6" fillId="3" borderId="2" xfId="17" applyNumberFormat="1" applyFont="1" applyFill="1" applyBorder="1" applyAlignment="1">
      <alignment wrapText="1"/>
    </xf>
    <xf numFmtId="0" fontId="18" fillId="3" borderId="0" xfId="0" applyFont="1" applyFill="1"/>
    <xf numFmtId="0" fontId="6" fillId="3" borderId="2" xfId="0" applyFont="1" applyFill="1" applyBorder="1" applyAlignment="1" applyProtection="1">
      <alignment horizontal="center" wrapText="1"/>
    </xf>
    <xf numFmtId="0" fontId="6" fillId="3" borderId="2" xfId="0" applyFont="1" applyFill="1" applyBorder="1" applyAlignment="1" applyProtection="1">
      <alignment wrapText="1"/>
    </xf>
    <xf numFmtId="4" fontId="6" fillId="3" borderId="2" xfId="0" applyNumberFormat="1" applyFont="1" applyFill="1" applyBorder="1" applyAlignment="1" applyProtection="1">
      <alignment wrapText="1"/>
    </xf>
    <xf numFmtId="3" fontId="6" fillId="3" borderId="2" xfId="0" applyNumberFormat="1" applyFont="1" applyFill="1" applyBorder="1" applyAlignment="1" applyProtection="1">
      <alignment wrapText="1"/>
    </xf>
    <xf numFmtId="4" fontId="6" fillId="3" borderId="2" xfId="54" applyNumberFormat="1" applyFont="1" applyFill="1" applyBorder="1" applyAlignment="1" applyProtection="1">
      <alignment wrapText="1"/>
    </xf>
    <xf numFmtId="0" fontId="8" fillId="3" borderId="0" xfId="0" applyFont="1" applyFill="1" applyProtection="1"/>
    <xf numFmtId="0" fontId="17" fillId="3" borderId="0" xfId="0" applyFont="1" applyFill="1" applyProtection="1"/>
    <xf numFmtId="3" fontId="6" fillId="3" borderId="2" xfId="0" applyNumberFormat="1" applyFont="1" applyFill="1" applyBorder="1" applyAlignment="1">
      <alignment horizontal="center" wrapText="1"/>
    </xf>
    <xf numFmtId="169" fontId="6" fillId="3" borderId="2" xfId="0" applyNumberFormat="1" applyFont="1" applyFill="1" applyBorder="1" applyAlignment="1">
      <alignment horizontal="left" wrapText="1"/>
    </xf>
    <xf numFmtId="173" fontId="6" fillId="3" borderId="2" xfId="54" applyNumberFormat="1" applyFont="1" applyFill="1" applyBorder="1" applyAlignment="1">
      <alignment horizontal="right" wrapText="1"/>
    </xf>
    <xf numFmtId="0" fontId="6" fillId="3" borderId="0" xfId="0" applyFont="1" applyFill="1" applyAlignment="1" applyProtection="1">
      <alignment horizontal="right"/>
    </xf>
    <xf numFmtId="0" fontId="17" fillId="2" borderId="0" xfId="0" applyFont="1" applyFill="1"/>
    <xf numFmtId="4" fontId="12" fillId="2" borderId="2" xfId="0" applyNumberFormat="1" applyFont="1" applyFill="1" applyBorder="1" applyAlignment="1" applyProtection="1">
      <alignment wrapText="1"/>
      <protection locked="0"/>
    </xf>
    <xf numFmtId="3" fontId="12" fillId="2" borderId="2" xfId="0" applyNumberFormat="1" applyFont="1" applyFill="1" applyBorder="1" applyAlignment="1" applyProtection="1">
      <alignment wrapText="1"/>
      <protection locked="0"/>
    </xf>
    <xf numFmtId="0" fontId="18" fillId="2" borderId="0" xfId="0" applyFont="1" applyFill="1" applyProtection="1">
      <protection locked="0"/>
    </xf>
    <xf numFmtId="49" fontId="6" fillId="3" borderId="2" xfId="0" applyNumberFormat="1" applyFont="1" applyFill="1" applyBorder="1" applyAlignment="1" applyProtection="1">
      <alignment horizontal="left" wrapText="1"/>
    </xf>
    <xf numFmtId="0" fontId="24" fillId="3" borderId="0" xfId="0" applyFont="1" applyFill="1"/>
    <xf numFmtId="0" fontId="17" fillId="3" borderId="0" xfId="0" applyFont="1" applyFill="1" applyProtection="1">
      <protection locked="0"/>
    </xf>
    <xf numFmtId="0" fontId="12" fillId="3" borderId="0" xfId="0" applyFont="1" applyFill="1" applyProtection="1">
      <protection locked="0"/>
    </xf>
    <xf numFmtId="4" fontId="12" fillId="5" borderId="2" xfId="0" applyNumberFormat="1" applyFont="1" applyFill="1" applyBorder="1" applyAlignment="1">
      <alignment wrapText="1"/>
    </xf>
    <xf numFmtId="3" fontId="12" fillId="5" borderId="2" xfId="0" applyNumberFormat="1" applyFont="1" applyFill="1" applyBorder="1" applyAlignment="1">
      <alignment wrapText="1"/>
    </xf>
    <xf numFmtId="168" fontId="6" fillId="3" borderId="2" xfId="0" applyNumberFormat="1" applyFont="1" applyFill="1" applyBorder="1" applyAlignment="1" applyProtection="1">
      <alignment horizontal="left" wrapText="1"/>
    </xf>
    <xf numFmtId="0" fontId="6" fillId="3" borderId="2" xfId="0" applyFont="1" applyFill="1" applyBorder="1" applyAlignment="1" applyProtection="1">
      <alignment horizontal="left" wrapText="1"/>
    </xf>
    <xf numFmtId="49" fontId="6" fillId="3" borderId="2" xfId="0" applyNumberFormat="1" applyFont="1" applyFill="1" applyBorder="1" applyAlignment="1" applyProtection="1">
      <alignment wrapText="1"/>
    </xf>
    <xf numFmtId="49" fontId="6" fillId="3" borderId="2" xfId="17" applyNumberFormat="1" applyFont="1" applyFill="1" applyBorder="1" applyAlignment="1" applyProtection="1">
      <alignment wrapText="1"/>
    </xf>
    <xf numFmtId="4" fontId="6" fillId="3" borderId="2" xfId="248" applyNumberFormat="1" applyFont="1" applyFill="1" applyBorder="1" applyAlignment="1" applyProtection="1">
      <alignment wrapText="1"/>
    </xf>
    <xf numFmtId="4" fontId="6" fillId="3" borderId="2" xfId="17" applyNumberFormat="1" applyFont="1" applyFill="1" applyBorder="1" applyAlignment="1" applyProtection="1">
      <alignment wrapText="1"/>
    </xf>
    <xf numFmtId="3" fontId="6" fillId="3" borderId="2" xfId="17" applyNumberFormat="1" applyFont="1" applyFill="1" applyBorder="1" applyAlignment="1" applyProtection="1">
      <alignment wrapText="1"/>
    </xf>
    <xf numFmtId="0" fontId="8" fillId="3" borderId="2" xfId="0" applyFont="1" applyFill="1" applyBorder="1" applyAlignment="1" applyProtection="1">
      <alignment horizontal="center" wrapText="1"/>
    </xf>
    <xf numFmtId="43" fontId="6" fillId="3" borderId="2" xfId="54" applyNumberFormat="1" applyFont="1" applyFill="1" applyBorder="1" applyAlignment="1">
      <alignment wrapText="1"/>
    </xf>
    <xf numFmtId="43" fontId="6" fillId="3" borderId="2" xfId="54" applyNumberFormat="1" applyFont="1" applyFill="1" applyBorder="1" applyAlignment="1">
      <alignment horizontal="right" wrapText="1"/>
    </xf>
    <xf numFmtId="4" fontId="6" fillId="3" borderId="2" xfId="0" applyNumberFormat="1" applyFont="1" applyFill="1" applyBorder="1" applyAlignment="1" applyProtection="1">
      <alignment horizontal="right" wrapText="1"/>
    </xf>
    <xf numFmtId="0" fontId="6" fillId="3" borderId="2" xfId="0" applyFont="1" applyFill="1" applyBorder="1" applyAlignment="1" applyProtection="1">
      <alignment horizontal="center" wrapText="1"/>
      <protection locked="0"/>
    </xf>
    <xf numFmtId="2" fontId="6" fillId="3" borderId="2" xfId="0" applyNumberFormat="1" applyFont="1" applyFill="1" applyBorder="1" applyAlignment="1" applyProtection="1">
      <alignment wrapText="1"/>
      <protection locked="0"/>
    </xf>
    <xf numFmtId="3" fontId="6" fillId="3" borderId="2" xfId="0" applyNumberFormat="1" applyFont="1" applyFill="1" applyBorder="1" applyAlignment="1" applyProtection="1">
      <alignment horizontal="center" wrapText="1"/>
    </xf>
    <xf numFmtId="169" fontId="6" fillId="3" borderId="2" xfId="0" applyNumberFormat="1" applyFont="1" applyFill="1" applyBorder="1" applyAlignment="1" applyProtection="1">
      <alignment wrapText="1"/>
    </xf>
    <xf numFmtId="4" fontId="12" fillId="3" borderId="2" xfId="0" applyNumberFormat="1" applyFont="1" applyFill="1" applyBorder="1" applyAlignment="1" applyProtection="1">
      <alignment wrapText="1"/>
    </xf>
    <xf numFmtId="0" fontId="6" fillId="3" borderId="0" xfId="0" applyFont="1" applyFill="1" applyAlignment="1" applyProtection="1">
      <alignment wrapText="1"/>
      <protection locked="0"/>
    </xf>
    <xf numFmtId="0" fontId="8" fillId="3" borderId="0" xfId="0" applyFont="1" applyFill="1" applyAlignment="1" applyProtection="1">
      <alignment wrapText="1"/>
    </xf>
    <xf numFmtId="4" fontId="6" fillId="3" borderId="0" xfId="0" applyNumberFormat="1" applyFont="1" applyFill="1" applyAlignment="1" applyProtection="1">
      <alignment wrapText="1"/>
      <protection locked="0"/>
    </xf>
    <xf numFmtId="4" fontId="12" fillId="5" borderId="0" xfId="0" applyNumberFormat="1" applyFont="1" applyFill="1" applyAlignment="1" applyProtection="1">
      <alignment wrapText="1"/>
      <protection locked="0"/>
    </xf>
    <xf numFmtId="4" fontId="12" fillId="5" borderId="2" xfId="0" applyNumberFormat="1" applyFont="1" applyFill="1" applyBorder="1" applyAlignment="1" applyProtection="1">
      <alignment horizontal="right" wrapText="1"/>
      <protection locked="0"/>
    </xf>
    <xf numFmtId="3" fontId="12" fillId="5" borderId="2" xfId="0" applyNumberFormat="1" applyFont="1" applyFill="1" applyBorder="1" applyAlignment="1" applyProtection="1">
      <alignment horizontal="right" wrapText="1"/>
      <protection locked="0"/>
    </xf>
    <xf numFmtId="3" fontId="12" fillId="3" borderId="2" xfId="0" applyNumberFormat="1" applyFont="1" applyFill="1" applyBorder="1" applyAlignment="1" applyProtection="1">
      <alignment wrapText="1"/>
    </xf>
    <xf numFmtId="3" fontId="6" fillId="3" borderId="2" xfId="0" applyNumberFormat="1" applyFont="1" applyFill="1" applyBorder="1" applyAlignment="1" applyProtection="1">
      <alignment horizontal="right" wrapText="1"/>
    </xf>
    <xf numFmtId="0" fontId="8" fillId="0" borderId="0" xfId="0" applyFont="1" applyProtection="1"/>
    <xf numFmtId="0" fontId="6" fillId="5" borderId="2" xfId="0" applyFont="1" applyFill="1" applyBorder="1" applyAlignment="1" applyProtection="1">
      <alignment wrapText="1"/>
      <protection locked="0"/>
    </xf>
    <xf numFmtId="4" fontId="6" fillId="0" borderId="2" xfId="0" applyNumberFormat="1" applyFont="1" applyBorder="1" applyAlignment="1" applyProtection="1">
      <alignment wrapText="1"/>
    </xf>
    <xf numFmtId="4" fontId="6" fillId="0" borderId="2" xfId="0" applyNumberFormat="1" applyFont="1" applyBorder="1" applyAlignment="1" applyProtection="1">
      <alignment horizontal="right" wrapText="1"/>
    </xf>
    <xf numFmtId="3" fontId="6" fillId="0" borderId="2" xfId="0" applyNumberFormat="1" applyFont="1" applyBorder="1" applyAlignment="1" applyProtection="1">
      <alignment horizontal="right" wrapText="1"/>
    </xf>
    <xf numFmtId="0" fontId="6" fillId="5" borderId="2" xfId="0" applyFont="1" applyFill="1" applyBorder="1" applyAlignment="1" applyProtection="1">
      <alignment wrapText="1"/>
    </xf>
    <xf numFmtId="3" fontId="6" fillId="3" borderId="0" xfId="0" applyNumberFormat="1" applyFont="1" applyFill="1" applyAlignment="1" applyProtection="1">
      <alignment horizontal="center" wrapText="1"/>
    </xf>
    <xf numFmtId="169" fontId="6" fillId="3" borderId="0" xfId="0" applyNumberFormat="1" applyFont="1" applyFill="1" applyAlignment="1" applyProtection="1">
      <alignment wrapText="1"/>
    </xf>
    <xf numFmtId="4" fontId="6" fillId="3" borderId="0" xfId="0" applyNumberFormat="1" applyFont="1" applyFill="1" applyAlignment="1" applyProtection="1">
      <alignment wrapText="1"/>
    </xf>
    <xf numFmtId="4" fontId="6" fillId="3" borderId="0" xfId="54" applyNumberFormat="1" applyFont="1" applyFill="1" applyAlignment="1" applyProtection="1">
      <alignment wrapText="1"/>
    </xf>
    <xf numFmtId="3" fontId="6" fillId="3" borderId="0" xfId="0" applyNumberFormat="1" applyFont="1" applyFill="1" applyAlignment="1" applyProtection="1">
      <alignment wrapText="1"/>
    </xf>
    <xf numFmtId="0" fontId="6" fillId="5" borderId="0" xfId="0" applyFont="1" applyFill="1" applyAlignment="1" applyProtection="1">
      <alignment wrapText="1"/>
      <protection locked="0"/>
    </xf>
    <xf numFmtId="4" fontId="6" fillId="5" borderId="0" xfId="0" applyNumberFormat="1" applyFont="1" applyFill="1" applyAlignment="1" applyProtection="1">
      <alignment wrapText="1"/>
      <protection locked="0"/>
    </xf>
    <xf numFmtId="0" fontId="8" fillId="5" borderId="0" xfId="0" applyFont="1" applyFill="1" applyProtection="1"/>
    <xf numFmtId="0" fontId="8" fillId="5" borderId="0" xfId="0" applyFont="1" applyFill="1" applyProtection="1">
      <protection locked="0"/>
    </xf>
    <xf numFmtId="0" fontId="6" fillId="0" borderId="0" xfId="0" applyFont="1" applyAlignment="1" applyProtection="1">
      <alignment wrapText="1"/>
      <protection locked="0"/>
    </xf>
    <xf numFmtId="4" fontId="6" fillId="0" borderId="0" xfId="0" applyNumberFormat="1" applyFont="1" applyAlignment="1" applyProtection="1">
      <alignment wrapText="1"/>
      <protection locked="0"/>
    </xf>
    <xf numFmtId="4" fontId="6" fillId="0" borderId="12" xfId="0" applyNumberFormat="1" applyFont="1" applyBorder="1" applyAlignment="1" applyProtection="1">
      <alignment wrapText="1"/>
      <protection locked="0"/>
    </xf>
    <xf numFmtId="0" fontId="12" fillId="3" borderId="2" xfId="0" applyFont="1" applyFill="1" applyBorder="1" applyAlignment="1">
      <alignment wrapText="1"/>
    </xf>
    <xf numFmtId="169" fontId="12" fillId="3" borderId="2" xfId="0" applyNumberFormat="1" applyFont="1" applyFill="1" applyBorder="1" applyAlignment="1">
      <alignment wrapText="1"/>
    </xf>
    <xf numFmtId="169" fontId="12" fillId="3" borderId="5" xfId="0" applyNumberFormat="1" applyFont="1" applyFill="1" applyBorder="1" applyAlignment="1">
      <alignment horizontal="left" wrapText="1"/>
    </xf>
    <xf numFmtId="169" fontId="12" fillId="3" borderId="6" xfId="0" applyNumberFormat="1" applyFont="1" applyFill="1" applyBorder="1" applyAlignment="1">
      <alignment horizontal="left" wrapText="1"/>
    </xf>
    <xf numFmtId="0" fontId="12" fillId="3" borderId="2" xfId="0" applyFont="1" applyFill="1" applyBorder="1" applyAlignment="1">
      <alignment horizontal="left" wrapText="1"/>
    </xf>
    <xf numFmtId="0" fontId="15" fillId="5" borderId="0" xfId="0" applyFont="1" applyFill="1" applyAlignment="1">
      <alignment wrapText="1"/>
    </xf>
    <xf numFmtId="0" fontId="10" fillId="5" borderId="4" xfId="0" applyFont="1" applyFill="1" applyBorder="1"/>
    <xf numFmtId="0" fontId="10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49" fontId="10" fillId="0" borderId="0" xfId="0" applyNumberFormat="1" applyFont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textRotation="90" wrapText="1"/>
    </xf>
    <xf numFmtId="49" fontId="6" fillId="0" borderId="2" xfId="0" applyNumberFormat="1" applyFont="1" applyBorder="1" applyAlignment="1">
      <alignment horizontal="center" vertical="center" textRotation="90" wrapText="1"/>
    </xf>
    <xf numFmtId="0" fontId="7" fillId="0" borderId="0" xfId="0" applyFont="1" applyAlignment="1">
      <alignment horizontal="center" wrapText="1"/>
    </xf>
    <xf numFmtId="0" fontId="7" fillId="0" borderId="0" xfId="0" applyFont="1" applyAlignment="1">
      <alignment horizontal="left" wrapText="1"/>
    </xf>
    <xf numFmtId="0" fontId="9" fillId="0" borderId="0" xfId="0" applyFont="1" applyAlignment="1">
      <alignment horizontal="center" vertical="center" wrapText="1"/>
    </xf>
    <xf numFmtId="49" fontId="9" fillId="0" borderId="0" xfId="0" applyNumberFormat="1" applyFont="1" applyAlignment="1">
      <alignment horizontal="center" vertical="center" wrapText="1"/>
    </xf>
    <xf numFmtId="0" fontId="9" fillId="5" borderId="0" xfId="0" applyFont="1" applyFill="1"/>
    <xf numFmtId="0" fontId="10" fillId="5" borderId="12" xfId="0" applyFont="1" applyFill="1" applyBorder="1" applyAlignment="1">
      <alignment wrapText="1"/>
    </xf>
    <xf numFmtId="0" fontId="6" fillId="0" borderId="0" xfId="0" applyFont="1" applyAlignment="1">
      <alignment wrapText="1"/>
    </xf>
    <xf numFmtId="0" fontId="9" fillId="0" borderId="0" xfId="0" applyFont="1" applyAlignment="1">
      <alignment horizontal="center" wrapText="1"/>
    </xf>
    <xf numFmtId="0" fontId="6" fillId="0" borderId="7" xfId="0" applyFont="1" applyBorder="1" applyAlignment="1">
      <alignment horizontal="center" vertical="center" wrapText="1"/>
    </xf>
    <xf numFmtId="0" fontId="6" fillId="5" borderId="0" xfId="0" applyFont="1" applyFill="1" applyAlignment="1" applyProtection="1">
      <alignment wrapText="1"/>
      <protection locked="0"/>
    </xf>
    <xf numFmtId="4" fontId="6" fillId="5" borderId="0" xfId="0" applyNumberFormat="1" applyFont="1" applyFill="1" applyAlignment="1" applyProtection="1">
      <alignment wrapText="1"/>
      <protection locked="0"/>
    </xf>
    <xf numFmtId="0" fontId="12" fillId="3" borderId="2" xfId="0" applyFont="1" applyFill="1" applyBorder="1" applyAlignment="1" applyProtection="1">
      <alignment wrapText="1"/>
    </xf>
    <xf numFmtId="169" fontId="12" fillId="3" borderId="5" xfId="0" applyNumberFormat="1" applyFont="1" applyFill="1" applyBorder="1" applyAlignment="1" applyProtection="1">
      <alignment wrapText="1"/>
    </xf>
    <xf numFmtId="169" fontId="12" fillId="3" borderId="6" xfId="0" applyNumberFormat="1" applyFont="1" applyFill="1" applyBorder="1" applyAlignment="1" applyProtection="1">
      <alignment wrapText="1"/>
    </xf>
    <xf numFmtId="169" fontId="12" fillId="3" borderId="2" xfId="0" applyNumberFormat="1" applyFont="1" applyFill="1" applyBorder="1" applyAlignment="1" applyProtection="1">
      <alignment wrapText="1"/>
    </xf>
    <xf numFmtId="0" fontId="9" fillId="5" borderId="0" xfId="0" applyFont="1" applyFill="1" applyAlignment="1" applyProtection="1">
      <alignment wrapText="1"/>
      <protection locked="0"/>
    </xf>
    <xf numFmtId="4" fontId="9" fillId="5" borderId="0" xfId="0" applyNumberFormat="1" applyFont="1" applyFill="1" applyAlignment="1" applyProtection="1">
      <alignment wrapText="1"/>
      <protection locked="0"/>
    </xf>
    <xf numFmtId="0" fontId="12" fillId="5" borderId="2" xfId="0" applyFont="1" applyFill="1" applyBorder="1" applyAlignment="1" applyProtection="1">
      <alignment horizontal="left" wrapText="1"/>
      <protection locked="0"/>
    </xf>
    <xf numFmtId="0" fontId="12" fillId="0" borderId="2" xfId="0" applyFont="1" applyBorder="1" applyAlignment="1" applyProtection="1">
      <alignment wrapText="1"/>
    </xf>
    <xf numFmtId="0" fontId="15" fillId="5" borderId="0" xfId="0" applyFont="1" applyFill="1" applyAlignment="1" applyProtection="1">
      <alignment wrapText="1"/>
      <protection locked="0"/>
    </xf>
    <xf numFmtId="0" fontId="12" fillId="2" borderId="2" xfId="0" applyFont="1" applyFill="1" applyBorder="1" applyAlignment="1" applyProtection="1">
      <alignment horizontal="center" wrapText="1"/>
      <protection locked="0"/>
    </xf>
    <xf numFmtId="0" fontId="12" fillId="5" borderId="2" xfId="0" applyFont="1" applyFill="1" applyBorder="1" applyAlignment="1" applyProtection="1">
      <alignment wrapText="1"/>
      <protection locked="0"/>
    </xf>
    <xf numFmtId="0" fontId="12" fillId="3" borderId="2" xfId="0" applyFont="1" applyFill="1" applyBorder="1" applyAlignment="1" applyProtection="1">
      <alignment wrapText="1"/>
      <protection locked="0"/>
    </xf>
    <xf numFmtId="0" fontId="9" fillId="0" borderId="0" xfId="0" applyFont="1" applyAlignment="1" applyProtection="1">
      <alignment horizontal="center" wrapText="1"/>
      <protection locked="0"/>
    </xf>
    <xf numFmtId="4" fontId="9" fillId="0" borderId="0" xfId="0" applyNumberFormat="1" applyFont="1" applyAlignment="1" applyProtection="1">
      <alignment horizontal="center" wrapText="1"/>
      <protection locked="0"/>
    </xf>
    <xf numFmtId="0" fontId="6" fillId="0" borderId="2" xfId="0" applyFont="1" applyBorder="1" applyAlignment="1" applyProtection="1">
      <alignment horizontal="center" vertical="center" wrapText="1"/>
      <protection locked="0"/>
    </xf>
    <xf numFmtId="4" fontId="6" fillId="0" borderId="2" xfId="0" applyNumberFormat="1" applyFont="1" applyBorder="1" applyAlignment="1" applyProtection="1">
      <alignment horizontal="center" vertical="center" wrapText="1"/>
      <protection locked="0"/>
    </xf>
  </cellXfs>
  <cellStyles count="4260">
    <cellStyle name="Excel Built-in Normal" xfId="1" xr:uid="{00000000-0005-0000-0000-000000000000}"/>
    <cellStyle name="Heading" xfId="2" xr:uid="{00000000-0005-0000-0000-000001000000}"/>
    <cellStyle name="Heading1" xfId="3" xr:uid="{00000000-0005-0000-0000-000002000000}"/>
    <cellStyle name="Result" xfId="4" xr:uid="{00000000-0005-0000-0000-000003000000}"/>
    <cellStyle name="Result2" xfId="5" xr:uid="{00000000-0005-0000-0000-000004000000}"/>
    <cellStyle name="Обычный" xfId="0" builtinId="0"/>
    <cellStyle name="Обычный 10" xfId="6" xr:uid="{00000000-0005-0000-0000-000006000000}"/>
    <cellStyle name="Обычный 11" xfId="7" xr:uid="{00000000-0005-0000-0000-000007000000}"/>
    <cellStyle name="Обычный 12" xfId="8" xr:uid="{00000000-0005-0000-0000-000008000000}"/>
    <cellStyle name="Обычный 13" xfId="9" xr:uid="{00000000-0005-0000-0000-000009000000}"/>
    <cellStyle name="Обычный 14" xfId="10" xr:uid="{00000000-0005-0000-0000-00000A000000}"/>
    <cellStyle name="Обычный 15" xfId="11" xr:uid="{00000000-0005-0000-0000-00000B000000}"/>
    <cellStyle name="Обычный 16" xfId="12" xr:uid="{00000000-0005-0000-0000-00000C000000}"/>
    <cellStyle name="Обычный 17" xfId="13" xr:uid="{00000000-0005-0000-0000-00000D000000}"/>
    <cellStyle name="Обычный 18" xfId="14" xr:uid="{00000000-0005-0000-0000-00000E000000}"/>
    <cellStyle name="Обычный 19" xfId="15" xr:uid="{00000000-0005-0000-0000-00000F000000}"/>
    <cellStyle name="Обычный 2" xfId="16" xr:uid="{00000000-0005-0000-0000-000010000000}"/>
    <cellStyle name="Обычный 2 2" xfId="17" xr:uid="{00000000-0005-0000-0000-000011000000}"/>
    <cellStyle name="Обычный 2 2 2" xfId="18" xr:uid="{00000000-0005-0000-0000-000012000000}"/>
    <cellStyle name="Обычный 2 2 2 2" xfId="19" xr:uid="{00000000-0005-0000-0000-000013000000}"/>
    <cellStyle name="Обычный 2 2 2 3" xfId="20" xr:uid="{00000000-0005-0000-0000-000014000000}"/>
    <cellStyle name="Обычный 2 2 3" xfId="21" xr:uid="{00000000-0005-0000-0000-000015000000}"/>
    <cellStyle name="Обычный 2 2 4" xfId="22" xr:uid="{00000000-0005-0000-0000-000016000000}"/>
    <cellStyle name="Обычный 2 2 5" xfId="23" xr:uid="{00000000-0005-0000-0000-000017000000}"/>
    <cellStyle name="Обычный 2 3" xfId="24" xr:uid="{00000000-0005-0000-0000-000018000000}"/>
    <cellStyle name="Обычный 2 3 2" xfId="25" xr:uid="{00000000-0005-0000-0000-000019000000}"/>
    <cellStyle name="Обычный 2 3 3" xfId="26" xr:uid="{00000000-0005-0000-0000-00001A000000}"/>
    <cellStyle name="Обычный 2 4" xfId="27" xr:uid="{00000000-0005-0000-0000-00001B000000}"/>
    <cellStyle name="Обычный 2 4 2" xfId="28" xr:uid="{00000000-0005-0000-0000-00001C000000}"/>
    <cellStyle name="Обычный 2 5" xfId="29" xr:uid="{00000000-0005-0000-0000-00001D000000}"/>
    <cellStyle name="Обычный 20" xfId="30" xr:uid="{00000000-0005-0000-0000-00001E000000}"/>
    <cellStyle name="Обычный 21" xfId="31" xr:uid="{00000000-0005-0000-0000-00001F000000}"/>
    <cellStyle name="Обычный 22" xfId="32" xr:uid="{00000000-0005-0000-0000-000020000000}"/>
    <cellStyle name="Обычный 23" xfId="33" xr:uid="{00000000-0005-0000-0000-000021000000}"/>
    <cellStyle name="Обычный 23 2" xfId="34" xr:uid="{00000000-0005-0000-0000-000022000000}"/>
    <cellStyle name="Обычный 24" xfId="35" xr:uid="{00000000-0005-0000-0000-000023000000}"/>
    <cellStyle name="Обычный 25" xfId="36" xr:uid="{00000000-0005-0000-0000-000024000000}"/>
    <cellStyle name="Обычный 26" xfId="37" xr:uid="{00000000-0005-0000-0000-000025000000}"/>
    <cellStyle name="Обычный 3" xfId="38" xr:uid="{00000000-0005-0000-0000-000026000000}"/>
    <cellStyle name="Обычный 3 2" xfId="39" xr:uid="{00000000-0005-0000-0000-000027000000}"/>
    <cellStyle name="Обычный 3 3" xfId="40" xr:uid="{00000000-0005-0000-0000-000028000000}"/>
    <cellStyle name="Обычный 3 4" xfId="41" xr:uid="{00000000-0005-0000-0000-000029000000}"/>
    <cellStyle name="Обычный 3 5" xfId="42" xr:uid="{00000000-0005-0000-0000-00002A000000}"/>
    <cellStyle name="Обычный 3 6" xfId="43" xr:uid="{00000000-0005-0000-0000-00002B000000}"/>
    <cellStyle name="Обычный 4" xfId="44" xr:uid="{00000000-0005-0000-0000-00002C000000}"/>
    <cellStyle name="Обычный 4 2" xfId="45" xr:uid="{00000000-0005-0000-0000-00002D000000}"/>
    <cellStyle name="Обычный 4 3" xfId="46" xr:uid="{00000000-0005-0000-0000-00002E000000}"/>
    <cellStyle name="Обычный 4 4" xfId="47" xr:uid="{00000000-0005-0000-0000-00002F000000}"/>
    <cellStyle name="Обычный 5" xfId="48" xr:uid="{00000000-0005-0000-0000-000030000000}"/>
    <cellStyle name="Обычный 5 2" xfId="49" xr:uid="{00000000-0005-0000-0000-000031000000}"/>
    <cellStyle name="Обычный 6" xfId="50" xr:uid="{00000000-0005-0000-0000-000032000000}"/>
    <cellStyle name="Обычный 7" xfId="51" xr:uid="{00000000-0005-0000-0000-000033000000}"/>
    <cellStyle name="Обычный 8" xfId="52" xr:uid="{00000000-0005-0000-0000-000034000000}"/>
    <cellStyle name="Обычный 9" xfId="53" xr:uid="{00000000-0005-0000-0000-000035000000}"/>
    <cellStyle name="Финансовый" xfId="54" builtinId="3"/>
    <cellStyle name="Финансовый 10" xfId="55" xr:uid="{00000000-0005-0000-0000-000037000000}"/>
    <cellStyle name="Финансовый 10 2" xfId="56" xr:uid="{00000000-0005-0000-0000-000038000000}"/>
    <cellStyle name="Финансовый 11" xfId="57" xr:uid="{00000000-0005-0000-0000-000039000000}"/>
    <cellStyle name="Финансовый 11 10" xfId="58" xr:uid="{00000000-0005-0000-0000-00003A000000}"/>
    <cellStyle name="Финансовый 11 11" xfId="59" xr:uid="{00000000-0005-0000-0000-00003B000000}"/>
    <cellStyle name="Финансовый 11 12" xfId="60" xr:uid="{00000000-0005-0000-0000-00003C000000}"/>
    <cellStyle name="Финансовый 11 13" xfId="61" xr:uid="{00000000-0005-0000-0000-00003D000000}"/>
    <cellStyle name="Финансовый 11 2" xfId="62" xr:uid="{00000000-0005-0000-0000-00003E000000}"/>
    <cellStyle name="Финансовый 11 2 2" xfId="63" xr:uid="{00000000-0005-0000-0000-00003F000000}"/>
    <cellStyle name="Финансовый 11 2 2 2" xfId="64" xr:uid="{00000000-0005-0000-0000-000040000000}"/>
    <cellStyle name="Финансовый 11 2 2 2 2" xfId="65" xr:uid="{00000000-0005-0000-0000-000041000000}"/>
    <cellStyle name="Финансовый 11 2 2 2 2 2" xfId="66" xr:uid="{00000000-0005-0000-0000-000042000000}"/>
    <cellStyle name="Финансовый 11 2 2 2 2 3" xfId="67" xr:uid="{00000000-0005-0000-0000-000043000000}"/>
    <cellStyle name="Финансовый 11 2 2 2 3" xfId="68" xr:uid="{00000000-0005-0000-0000-000044000000}"/>
    <cellStyle name="Финансовый 11 2 2 2 4" xfId="69" xr:uid="{00000000-0005-0000-0000-000045000000}"/>
    <cellStyle name="Финансовый 11 2 2 3" xfId="70" xr:uid="{00000000-0005-0000-0000-000046000000}"/>
    <cellStyle name="Финансовый 11 2 2 3 2" xfId="71" xr:uid="{00000000-0005-0000-0000-000047000000}"/>
    <cellStyle name="Финансовый 11 2 2 3 3" xfId="72" xr:uid="{00000000-0005-0000-0000-000048000000}"/>
    <cellStyle name="Финансовый 11 2 2 4" xfId="73" xr:uid="{00000000-0005-0000-0000-000049000000}"/>
    <cellStyle name="Финансовый 11 2 2 5" xfId="74" xr:uid="{00000000-0005-0000-0000-00004A000000}"/>
    <cellStyle name="Финансовый 11 2 3" xfId="75" xr:uid="{00000000-0005-0000-0000-00004B000000}"/>
    <cellStyle name="Финансовый 11 2 3 2" xfId="76" xr:uid="{00000000-0005-0000-0000-00004C000000}"/>
    <cellStyle name="Финансовый 11 2 3 2 2" xfId="77" xr:uid="{00000000-0005-0000-0000-00004D000000}"/>
    <cellStyle name="Финансовый 11 2 3 2 2 2" xfId="78" xr:uid="{00000000-0005-0000-0000-00004E000000}"/>
    <cellStyle name="Финансовый 11 2 3 2 2 3" xfId="79" xr:uid="{00000000-0005-0000-0000-00004F000000}"/>
    <cellStyle name="Финансовый 11 2 3 2 3" xfId="80" xr:uid="{00000000-0005-0000-0000-000050000000}"/>
    <cellStyle name="Финансовый 11 2 3 2 4" xfId="81" xr:uid="{00000000-0005-0000-0000-000051000000}"/>
    <cellStyle name="Финансовый 11 2 3 3" xfId="82" xr:uid="{00000000-0005-0000-0000-000052000000}"/>
    <cellStyle name="Финансовый 11 2 3 3 2" xfId="83" xr:uid="{00000000-0005-0000-0000-000053000000}"/>
    <cellStyle name="Финансовый 11 2 3 3 3" xfId="84" xr:uid="{00000000-0005-0000-0000-000054000000}"/>
    <cellStyle name="Финансовый 11 2 3 4" xfId="85" xr:uid="{00000000-0005-0000-0000-000055000000}"/>
    <cellStyle name="Финансовый 11 2 3 5" xfId="86" xr:uid="{00000000-0005-0000-0000-000056000000}"/>
    <cellStyle name="Финансовый 11 2 4" xfId="87" xr:uid="{00000000-0005-0000-0000-000057000000}"/>
    <cellStyle name="Финансовый 11 2 4 2" xfId="88" xr:uid="{00000000-0005-0000-0000-000058000000}"/>
    <cellStyle name="Финансовый 11 2 4 2 2" xfId="89" xr:uid="{00000000-0005-0000-0000-000059000000}"/>
    <cellStyle name="Финансовый 11 2 4 2 3" xfId="90" xr:uid="{00000000-0005-0000-0000-00005A000000}"/>
    <cellStyle name="Финансовый 11 2 4 3" xfId="91" xr:uid="{00000000-0005-0000-0000-00005B000000}"/>
    <cellStyle name="Финансовый 11 2 4 4" xfId="92" xr:uid="{00000000-0005-0000-0000-00005C000000}"/>
    <cellStyle name="Финансовый 11 2 5" xfId="93" xr:uid="{00000000-0005-0000-0000-00005D000000}"/>
    <cellStyle name="Финансовый 11 2 5 2" xfId="94" xr:uid="{00000000-0005-0000-0000-00005E000000}"/>
    <cellStyle name="Финансовый 11 2 5 3" xfId="95" xr:uid="{00000000-0005-0000-0000-00005F000000}"/>
    <cellStyle name="Финансовый 11 2 6" xfId="96" xr:uid="{00000000-0005-0000-0000-000060000000}"/>
    <cellStyle name="Финансовый 11 2 7" xfId="97" xr:uid="{00000000-0005-0000-0000-000061000000}"/>
    <cellStyle name="Финансовый 11 2 8" xfId="98" xr:uid="{00000000-0005-0000-0000-000062000000}"/>
    <cellStyle name="Финансовый 11 3" xfId="99" xr:uid="{00000000-0005-0000-0000-000063000000}"/>
    <cellStyle name="Финансовый 11 3 2" xfId="100" xr:uid="{00000000-0005-0000-0000-000064000000}"/>
    <cellStyle name="Финансовый 11 3 2 2" xfId="101" xr:uid="{00000000-0005-0000-0000-000065000000}"/>
    <cellStyle name="Финансовый 11 3 2 2 2" xfId="102" xr:uid="{00000000-0005-0000-0000-000066000000}"/>
    <cellStyle name="Финансовый 11 3 2 2 3" xfId="103" xr:uid="{00000000-0005-0000-0000-000067000000}"/>
    <cellStyle name="Финансовый 11 3 2 3" xfId="104" xr:uid="{00000000-0005-0000-0000-000068000000}"/>
    <cellStyle name="Финансовый 11 3 2 4" xfId="105" xr:uid="{00000000-0005-0000-0000-000069000000}"/>
    <cellStyle name="Финансовый 11 3 3" xfId="106" xr:uid="{00000000-0005-0000-0000-00006A000000}"/>
    <cellStyle name="Финансовый 11 3 3 2" xfId="107" xr:uid="{00000000-0005-0000-0000-00006B000000}"/>
    <cellStyle name="Финансовый 11 3 3 3" xfId="108" xr:uid="{00000000-0005-0000-0000-00006C000000}"/>
    <cellStyle name="Финансовый 11 3 4" xfId="109" xr:uid="{00000000-0005-0000-0000-00006D000000}"/>
    <cellStyle name="Финансовый 11 3 5" xfId="110" xr:uid="{00000000-0005-0000-0000-00006E000000}"/>
    <cellStyle name="Финансовый 11 4" xfId="111" xr:uid="{00000000-0005-0000-0000-00006F000000}"/>
    <cellStyle name="Финансовый 11 4 2" xfId="112" xr:uid="{00000000-0005-0000-0000-000070000000}"/>
    <cellStyle name="Финансовый 11 4 2 2" xfId="113" xr:uid="{00000000-0005-0000-0000-000071000000}"/>
    <cellStyle name="Финансовый 11 4 2 2 2" xfId="114" xr:uid="{00000000-0005-0000-0000-000072000000}"/>
    <cellStyle name="Финансовый 11 4 2 2 3" xfId="115" xr:uid="{00000000-0005-0000-0000-000073000000}"/>
    <cellStyle name="Финансовый 11 4 2 3" xfId="116" xr:uid="{00000000-0005-0000-0000-000074000000}"/>
    <cellStyle name="Финансовый 11 4 2 4" xfId="117" xr:uid="{00000000-0005-0000-0000-000075000000}"/>
    <cellStyle name="Финансовый 11 4 3" xfId="118" xr:uid="{00000000-0005-0000-0000-000076000000}"/>
    <cellStyle name="Финансовый 11 4 3 2" xfId="119" xr:uid="{00000000-0005-0000-0000-000077000000}"/>
    <cellStyle name="Финансовый 11 4 3 3" xfId="120" xr:uid="{00000000-0005-0000-0000-000078000000}"/>
    <cellStyle name="Финансовый 11 4 4" xfId="121" xr:uid="{00000000-0005-0000-0000-000079000000}"/>
    <cellStyle name="Финансовый 11 4 5" xfId="122" xr:uid="{00000000-0005-0000-0000-00007A000000}"/>
    <cellStyle name="Финансовый 11 5" xfId="123" xr:uid="{00000000-0005-0000-0000-00007B000000}"/>
    <cellStyle name="Финансовый 11 5 2" xfId="124" xr:uid="{00000000-0005-0000-0000-00007C000000}"/>
    <cellStyle name="Финансовый 11 5 2 2" xfId="125" xr:uid="{00000000-0005-0000-0000-00007D000000}"/>
    <cellStyle name="Финансовый 11 5 2 3" xfId="126" xr:uid="{00000000-0005-0000-0000-00007E000000}"/>
    <cellStyle name="Финансовый 11 5 3" xfId="127" xr:uid="{00000000-0005-0000-0000-00007F000000}"/>
    <cellStyle name="Финансовый 11 5 4" xfId="128" xr:uid="{00000000-0005-0000-0000-000080000000}"/>
    <cellStyle name="Финансовый 11 6" xfId="129" xr:uid="{00000000-0005-0000-0000-000081000000}"/>
    <cellStyle name="Финансовый 11 6 2" xfId="130" xr:uid="{00000000-0005-0000-0000-000082000000}"/>
    <cellStyle name="Финансовый 11 6 2 2" xfId="131" xr:uid="{00000000-0005-0000-0000-000083000000}"/>
    <cellStyle name="Финансовый 11 6 2 3" xfId="132" xr:uid="{00000000-0005-0000-0000-000084000000}"/>
    <cellStyle name="Финансовый 11 6 3" xfId="133" xr:uid="{00000000-0005-0000-0000-000085000000}"/>
    <cellStyle name="Финансовый 11 6 4" xfId="134" xr:uid="{00000000-0005-0000-0000-000086000000}"/>
    <cellStyle name="Финансовый 11 7" xfId="135" xr:uid="{00000000-0005-0000-0000-000087000000}"/>
    <cellStyle name="Финансовый 11 7 2" xfId="136" xr:uid="{00000000-0005-0000-0000-000088000000}"/>
    <cellStyle name="Финансовый 11 7 2 2" xfId="137" xr:uid="{00000000-0005-0000-0000-000089000000}"/>
    <cellStyle name="Финансовый 11 7 2 3" xfId="138" xr:uid="{00000000-0005-0000-0000-00008A000000}"/>
    <cellStyle name="Финансовый 11 7 3" xfId="139" xr:uid="{00000000-0005-0000-0000-00008B000000}"/>
    <cellStyle name="Финансовый 11 7 4" xfId="140" xr:uid="{00000000-0005-0000-0000-00008C000000}"/>
    <cellStyle name="Финансовый 11 8" xfId="141" xr:uid="{00000000-0005-0000-0000-00008D000000}"/>
    <cellStyle name="Финансовый 11 8 2" xfId="142" xr:uid="{00000000-0005-0000-0000-00008E000000}"/>
    <cellStyle name="Финансовый 11 8 2 2" xfId="143" xr:uid="{00000000-0005-0000-0000-00008F000000}"/>
    <cellStyle name="Финансовый 11 8 2 3" xfId="144" xr:uid="{00000000-0005-0000-0000-000090000000}"/>
    <cellStyle name="Финансовый 11 8 3" xfId="145" xr:uid="{00000000-0005-0000-0000-000091000000}"/>
    <cellStyle name="Финансовый 11 8 4" xfId="146" xr:uid="{00000000-0005-0000-0000-000092000000}"/>
    <cellStyle name="Финансовый 11 9" xfId="147" xr:uid="{00000000-0005-0000-0000-000093000000}"/>
    <cellStyle name="Финансовый 11 9 2" xfId="148" xr:uid="{00000000-0005-0000-0000-000094000000}"/>
    <cellStyle name="Финансовый 11 9 3" xfId="149" xr:uid="{00000000-0005-0000-0000-000095000000}"/>
    <cellStyle name="Финансовый 12" xfId="150" xr:uid="{00000000-0005-0000-0000-000096000000}"/>
    <cellStyle name="Финансовый 12 10" xfId="151" xr:uid="{00000000-0005-0000-0000-000097000000}"/>
    <cellStyle name="Финансовый 12 11" xfId="152" xr:uid="{00000000-0005-0000-0000-000098000000}"/>
    <cellStyle name="Финансовый 12 2" xfId="153" xr:uid="{00000000-0005-0000-0000-000099000000}"/>
    <cellStyle name="Финансовый 12 2 2" xfId="154" xr:uid="{00000000-0005-0000-0000-00009A000000}"/>
    <cellStyle name="Финансовый 12 2 2 2" xfId="155" xr:uid="{00000000-0005-0000-0000-00009B000000}"/>
    <cellStyle name="Финансовый 12 2 2 2 2" xfId="156" xr:uid="{00000000-0005-0000-0000-00009C000000}"/>
    <cellStyle name="Финансовый 12 2 2 2 3" xfId="157" xr:uid="{00000000-0005-0000-0000-00009D000000}"/>
    <cellStyle name="Финансовый 12 2 2 3" xfId="158" xr:uid="{00000000-0005-0000-0000-00009E000000}"/>
    <cellStyle name="Финансовый 12 2 2 4" xfId="159" xr:uid="{00000000-0005-0000-0000-00009F000000}"/>
    <cellStyle name="Финансовый 12 2 3" xfId="160" xr:uid="{00000000-0005-0000-0000-0000A0000000}"/>
    <cellStyle name="Финансовый 12 2 3 2" xfId="161" xr:uid="{00000000-0005-0000-0000-0000A1000000}"/>
    <cellStyle name="Финансовый 12 2 3 3" xfId="162" xr:uid="{00000000-0005-0000-0000-0000A2000000}"/>
    <cellStyle name="Финансовый 12 2 4" xfId="163" xr:uid="{00000000-0005-0000-0000-0000A3000000}"/>
    <cellStyle name="Финансовый 12 2 5" xfId="164" xr:uid="{00000000-0005-0000-0000-0000A4000000}"/>
    <cellStyle name="Финансовый 12 3" xfId="165" xr:uid="{00000000-0005-0000-0000-0000A5000000}"/>
    <cellStyle name="Финансовый 12 3 2" xfId="166" xr:uid="{00000000-0005-0000-0000-0000A6000000}"/>
    <cellStyle name="Финансовый 12 3 2 2" xfId="167" xr:uid="{00000000-0005-0000-0000-0000A7000000}"/>
    <cellStyle name="Финансовый 12 3 2 2 2" xfId="168" xr:uid="{00000000-0005-0000-0000-0000A8000000}"/>
    <cellStyle name="Финансовый 12 3 2 2 3" xfId="169" xr:uid="{00000000-0005-0000-0000-0000A9000000}"/>
    <cellStyle name="Финансовый 12 3 2 3" xfId="170" xr:uid="{00000000-0005-0000-0000-0000AA000000}"/>
    <cellStyle name="Финансовый 12 3 2 4" xfId="171" xr:uid="{00000000-0005-0000-0000-0000AB000000}"/>
    <cellStyle name="Финансовый 12 3 3" xfId="172" xr:uid="{00000000-0005-0000-0000-0000AC000000}"/>
    <cellStyle name="Финансовый 12 3 3 2" xfId="173" xr:uid="{00000000-0005-0000-0000-0000AD000000}"/>
    <cellStyle name="Финансовый 12 3 3 3" xfId="174" xr:uid="{00000000-0005-0000-0000-0000AE000000}"/>
    <cellStyle name="Финансовый 12 3 4" xfId="175" xr:uid="{00000000-0005-0000-0000-0000AF000000}"/>
    <cellStyle name="Финансовый 12 3 5" xfId="176" xr:uid="{00000000-0005-0000-0000-0000B0000000}"/>
    <cellStyle name="Финансовый 12 4" xfId="177" xr:uid="{00000000-0005-0000-0000-0000B1000000}"/>
    <cellStyle name="Финансовый 12 4 2" xfId="178" xr:uid="{00000000-0005-0000-0000-0000B2000000}"/>
    <cellStyle name="Финансовый 12 4 2 2" xfId="179" xr:uid="{00000000-0005-0000-0000-0000B3000000}"/>
    <cellStyle name="Финансовый 12 4 2 3" xfId="180" xr:uid="{00000000-0005-0000-0000-0000B4000000}"/>
    <cellStyle name="Финансовый 12 4 3" xfId="181" xr:uid="{00000000-0005-0000-0000-0000B5000000}"/>
    <cellStyle name="Финансовый 12 4 4" xfId="182" xr:uid="{00000000-0005-0000-0000-0000B6000000}"/>
    <cellStyle name="Финансовый 12 5" xfId="183" xr:uid="{00000000-0005-0000-0000-0000B7000000}"/>
    <cellStyle name="Финансовый 12 5 2" xfId="184" xr:uid="{00000000-0005-0000-0000-0000B8000000}"/>
    <cellStyle name="Финансовый 12 5 2 2" xfId="185" xr:uid="{00000000-0005-0000-0000-0000B9000000}"/>
    <cellStyle name="Финансовый 12 5 2 3" xfId="186" xr:uid="{00000000-0005-0000-0000-0000BA000000}"/>
    <cellStyle name="Финансовый 12 5 3" xfId="187" xr:uid="{00000000-0005-0000-0000-0000BB000000}"/>
    <cellStyle name="Финансовый 12 5 4" xfId="188" xr:uid="{00000000-0005-0000-0000-0000BC000000}"/>
    <cellStyle name="Финансовый 12 6" xfId="189" xr:uid="{00000000-0005-0000-0000-0000BD000000}"/>
    <cellStyle name="Финансовый 12 6 2" xfId="190" xr:uid="{00000000-0005-0000-0000-0000BE000000}"/>
    <cellStyle name="Финансовый 12 6 2 2" xfId="191" xr:uid="{00000000-0005-0000-0000-0000BF000000}"/>
    <cellStyle name="Финансовый 12 6 2 3" xfId="192" xr:uid="{00000000-0005-0000-0000-0000C0000000}"/>
    <cellStyle name="Финансовый 12 6 3" xfId="193" xr:uid="{00000000-0005-0000-0000-0000C1000000}"/>
    <cellStyle name="Финансовый 12 6 4" xfId="194" xr:uid="{00000000-0005-0000-0000-0000C2000000}"/>
    <cellStyle name="Финансовый 12 7" xfId="195" xr:uid="{00000000-0005-0000-0000-0000C3000000}"/>
    <cellStyle name="Финансовый 12 7 2" xfId="196" xr:uid="{00000000-0005-0000-0000-0000C4000000}"/>
    <cellStyle name="Финансовый 12 7 2 2" xfId="197" xr:uid="{00000000-0005-0000-0000-0000C5000000}"/>
    <cellStyle name="Финансовый 12 7 2 3" xfId="198" xr:uid="{00000000-0005-0000-0000-0000C6000000}"/>
    <cellStyle name="Финансовый 12 7 3" xfId="199" xr:uid="{00000000-0005-0000-0000-0000C7000000}"/>
    <cellStyle name="Финансовый 12 7 4" xfId="200" xr:uid="{00000000-0005-0000-0000-0000C8000000}"/>
    <cellStyle name="Финансовый 12 8" xfId="201" xr:uid="{00000000-0005-0000-0000-0000C9000000}"/>
    <cellStyle name="Финансовый 12 8 2" xfId="202" xr:uid="{00000000-0005-0000-0000-0000CA000000}"/>
    <cellStyle name="Финансовый 12 8 3" xfId="203" xr:uid="{00000000-0005-0000-0000-0000CB000000}"/>
    <cellStyle name="Финансовый 12 9" xfId="204" xr:uid="{00000000-0005-0000-0000-0000CC000000}"/>
    <cellStyle name="Финансовый 13" xfId="205" xr:uid="{00000000-0005-0000-0000-0000CD000000}"/>
    <cellStyle name="Финансовый 13 2" xfId="206" xr:uid="{00000000-0005-0000-0000-0000CE000000}"/>
    <cellStyle name="Финансовый 13 2 2" xfId="207" xr:uid="{00000000-0005-0000-0000-0000CF000000}"/>
    <cellStyle name="Финансовый 13 2 2 2" xfId="208" xr:uid="{00000000-0005-0000-0000-0000D0000000}"/>
    <cellStyle name="Финансовый 13 2 2 3" xfId="209" xr:uid="{00000000-0005-0000-0000-0000D1000000}"/>
    <cellStyle name="Финансовый 13 2 3" xfId="210" xr:uid="{00000000-0005-0000-0000-0000D2000000}"/>
    <cellStyle name="Финансовый 13 2 4" xfId="211" xr:uid="{00000000-0005-0000-0000-0000D3000000}"/>
    <cellStyle name="Финансовый 13 3" xfId="212" xr:uid="{00000000-0005-0000-0000-0000D4000000}"/>
    <cellStyle name="Финансовый 13 3 2" xfId="213" xr:uid="{00000000-0005-0000-0000-0000D5000000}"/>
    <cellStyle name="Финансовый 13 3 3" xfId="214" xr:uid="{00000000-0005-0000-0000-0000D6000000}"/>
    <cellStyle name="Финансовый 13 4" xfId="215" xr:uid="{00000000-0005-0000-0000-0000D7000000}"/>
    <cellStyle name="Финансовый 13 5" xfId="216" xr:uid="{00000000-0005-0000-0000-0000D8000000}"/>
    <cellStyle name="Финансовый 13 6" xfId="217" xr:uid="{00000000-0005-0000-0000-0000D9000000}"/>
    <cellStyle name="Финансовый 14" xfId="218" xr:uid="{00000000-0005-0000-0000-0000DA000000}"/>
    <cellStyle name="Финансовый 14 2" xfId="219" xr:uid="{00000000-0005-0000-0000-0000DB000000}"/>
    <cellStyle name="Финансовый 14 2 2" xfId="220" xr:uid="{00000000-0005-0000-0000-0000DC000000}"/>
    <cellStyle name="Финансовый 14 2 2 2" xfId="221" xr:uid="{00000000-0005-0000-0000-0000DD000000}"/>
    <cellStyle name="Финансовый 14 2 2 3" xfId="222" xr:uid="{00000000-0005-0000-0000-0000DE000000}"/>
    <cellStyle name="Финансовый 14 2 3" xfId="223" xr:uid="{00000000-0005-0000-0000-0000DF000000}"/>
    <cellStyle name="Финансовый 14 2 4" xfId="224" xr:uid="{00000000-0005-0000-0000-0000E0000000}"/>
    <cellStyle name="Финансовый 14 3" xfId="225" xr:uid="{00000000-0005-0000-0000-0000E1000000}"/>
    <cellStyle name="Финансовый 14 3 2" xfId="226" xr:uid="{00000000-0005-0000-0000-0000E2000000}"/>
    <cellStyle name="Финансовый 14 3 3" xfId="227" xr:uid="{00000000-0005-0000-0000-0000E3000000}"/>
    <cellStyle name="Финансовый 14 4" xfId="228" xr:uid="{00000000-0005-0000-0000-0000E4000000}"/>
    <cellStyle name="Финансовый 14 5" xfId="229" xr:uid="{00000000-0005-0000-0000-0000E5000000}"/>
    <cellStyle name="Финансовый 15" xfId="230" xr:uid="{00000000-0005-0000-0000-0000E6000000}"/>
    <cellStyle name="Финансовый 15 2" xfId="231" xr:uid="{00000000-0005-0000-0000-0000E7000000}"/>
    <cellStyle name="Финансовый 15 2 2" xfId="232" xr:uid="{00000000-0005-0000-0000-0000E8000000}"/>
    <cellStyle name="Финансовый 15 2 3" xfId="233" xr:uid="{00000000-0005-0000-0000-0000E9000000}"/>
    <cellStyle name="Финансовый 15 3" xfId="234" xr:uid="{00000000-0005-0000-0000-0000EA000000}"/>
    <cellStyle name="Финансовый 15 4" xfId="235" xr:uid="{00000000-0005-0000-0000-0000EB000000}"/>
    <cellStyle name="Финансовый 15 5" xfId="236" xr:uid="{00000000-0005-0000-0000-0000EC000000}"/>
    <cellStyle name="Финансовый 16" xfId="237" xr:uid="{00000000-0005-0000-0000-0000ED000000}"/>
    <cellStyle name="Финансовый 16 2" xfId="238" xr:uid="{00000000-0005-0000-0000-0000EE000000}"/>
    <cellStyle name="Финансовый 16 2 2" xfId="239" xr:uid="{00000000-0005-0000-0000-0000EF000000}"/>
    <cellStyle name="Финансовый 16 2 3" xfId="240" xr:uid="{00000000-0005-0000-0000-0000F0000000}"/>
    <cellStyle name="Финансовый 16 3" xfId="241" xr:uid="{00000000-0005-0000-0000-0000F1000000}"/>
    <cellStyle name="Финансовый 16 4" xfId="242" xr:uid="{00000000-0005-0000-0000-0000F2000000}"/>
    <cellStyle name="Финансовый 17" xfId="243" xr:uid="{00000000-0005-0000-0000-0000F3000000}"/>
    <cellStyle name="Финансовый 17 2" xfId="244" xr:uid="{00000000-0005-0000-0000-0000F4000000}"/>
    <cellStyle name="Финансовый 17 3" xfId="245" xr:uid="{00000000-0005-0000-0000-0000F5000000}"/>
    <cellStyle name="Финансовый 18" xfId="246" xr:uid="{00000000-0005-0000-0000-0000F6000000}"/>
    <cellStyle name="Финансовый 19" xfId="247" xr:uid="{00000000-0005-0000-0000-0000F7000000}"/>
    <cellStyle name="Финансовый 2" xfId="248" xr:uid="{00000000-0005-0000-0000-0000F8000000}"/>
    <cellStyle name="Финансовый 2 10" xfId="249" xr:uid="{00000000-0005-0000-0000-0000F9000000}"/>
    <cellStyle name="Финансовый 2 10 2" xfId="250" xr:uid="{00000000-0005-0000-0000-0000FA000000}"/>
    <cellStyle name="Финансовый 2 10 2 2" xfId="251" xr:uid="{00000000-0005-0000-0000-0000FB000000}"/>
    <cellStyle name="Финансовый 2 10 2 2 2" xfId="252" xr:uid="{00000000-0005-0000-0000-0000FC000000}"/>
    <cellStyle name="Финансовый 2 10 2 2 2 2" xfId="253" xr:uid="{00000000-0005-0000-0000-0000FD000000}"/>
    <cellStyle name="Финансовый 2 10 2 2 2 3" xfId="254" xr:uid="{00000000-0005-0000-0000-0000FE000000}"/>
    <cellStyle name="Финансовый 2 10 2 2 3" xfId="255" xr:uid="{00000000-0005-0000-0000-0000FF000000}"/>
    <cellStyle name="Финансовый 2 10 2 2 4" xfId="256" xr:uid="{00000000-0005-0000-0000-000000010000}"/>
    <cellStyle name="Финансовый 2 10 2 3" xfId="257" xr:uid="{00000000-0005-0000-0000-000001010000}"/>
    <cellStyle name="Финансовый 2 10 2 3 2" xfId="258" xr:uid="{00000000-0005-0000-0000-000002010000}"/>
    <cellStyle name="Финансовый 2 10 2 3 3" xfId="259" xr:uid="{00000000-0005-0000-0000-000003010000}"/>
    <cellStyle name="Финансовый 2 10 2 4" xfId="260" xr:uid="{00000000-0005-0000-0000-000004010000}"/>
    <cellStyle name="Финансовый 2 10 2 5" xfId="261" xr:uid="{00000000-0005-0000-0000-000005010000}"/>
    <cellStyle name="Финансовый 2 10 3" xfId="262" xr:uid="{00000000-0005-0000-0000-000006010000}"/>
    <cellStyle name="Финансовый 2 10 3 2" xfId="263" xr:uid="{00000000-0005-0000-0000-000007010000}"/>
    <cellStyle name="Финансовый 2 10 3 2 2" xfId="264" xr:uid="{00000000-0005-0000-0000-000008010000}"/>
    <cellStyle name="Финансовый 2 10 3 2 2 2" xfId="265" xr:uid="{00000000-0005-0000-0000-000009010000}"/>
    <cellStyle name="Финансовый 2 10 3 2 2 3" xfId="266" xr:uid="{00000000-0005-0000-0000-00000A010000}"/>
    <cellStyle name="Финансовый 2 10 3 2 3" xfId="267" xr:uid="{00000000-0005-0000-0000-00000B010000}"/>
    <cellStyle name="Финансовый 2 10 3 2 4" xfId="268" xr:uid="{00000000-0005-0000-0000-00000C010000}"/>
    <cellStyle name="Финансовый 2 10 3 3" xfId="269" xr:uid="{00000000-0005-0000-0000-00000D010000}"/>
    <cellStyle name="Финансовый 2 10 3 3 2" xfId="270" xr:uid="{00000000-0005-0000-0000-00000E010000}"/>
    <cellStyle name="Финансовый 2 10 3 3 3" xfId="271" xr:uid="{00000000-0005-0000-0000-00000F010000}"/>
    <cellStyle name="Финансовый 2 10 3 4" xfId="272" xr:uid="{00000000-0005-0000-0000-000010010000}"/>
    <cellStyle name="Финансовый 2 10 3 5" xfId="273" xr:uid="{00000000-0005-0000-0000-000011010000}"/>
    <cellStyle name="Финансовый 2 10 4" xfId="274" xr:uid="{00000000-0005-0000-0000-000012010000}"/>
    <cellStyle name="Финансовый 2 10 4 2" xfId="275" xr:uid="{00000000-0005-0000-0000-000013010000}"/>
    <cellStyle name="Финансовый 2 10 4 2 2" xfId="276" xr:uid="{00000000-0005-0000-0000-000014010000}"/>
    <cellStyle name="Финансовый 2 10 4 2 3" xfId="277" xr:uid="{00000000-0005-0000-0000-000015010000}"/>
    <cellStyle name="Финансовый 2 10 4 3" xfId="278" xr:uid="{00000000-0005-0000-0000-000016010000}"/>
    <cellStyle name="Финансовый 2 10 4 4" xfId="279" xr:uid="{00000000-0005-0000-0000-000017010000}"/>
    <cellStyle name="Финансовый 2 10 5" xfId="280" xr:uid="{00000000-0005-0000-0000-000018010000}"/>
    <cellStyle name="Финансовый 2 10 5 2" xfId="281" xr:uid="{00000000-0005-0000-0000-000019010000}"/>
    <cellStyle name="Финансовый 2 10 5 3" xfId="282" xr:uid="{00000000-0005-0000-0000-00001A010000}"/>
    <cellStyle name="Финансовый 2 10 6" xfId="283" xr:uid="{00000000-0005-0000-0000-00001B010000}"/>
    <cellStyle name="Финансовый 2 10 7" xfId="284" xr:uid="{00000000-0005-0000-0000-00001C010000}"/>
    <cellStyle name="Финансовый 2 10 8" xfId="285" xr:uid="{00000000-0005-0000-0000-00001D010000}"/>
    <cellStyle name="Финансовый 2 11" xfId="286" xr:uid="{00000000-0005-0000-0000-00001E010000}"/>
    <cellStyle name="Финансовый 2 11 2" xfId="287" xr:uid="{00000000-0005-0000-0000-00001F010000}"/>
    <cellStyle name="Финансовый 2 11 2 2" xfId="288" xr:uid="{00000000-0005-0000-0000-000020010000}"/>
    <cellStyle name="Финансовый 2 11 2 2 2" xfId="289" xr:uid="{00000000-0005-0000-0000-000021010000}"/>
    <cellStyle name="Финансовый 2 11 2 2 3" xfId="290" xr:uid="{00000000-0005-0000-0000-000022010000}"/>
    <cellStyle name="Финансовый 2 11 2 3" xfId="291" xr:uid="{00000000-0005-0000-0000-000023010000}"/>
    <cellStyle name="Финансовый 2 11 2 4" xfId="292" xr:uid="{00000000-0005-0000-0000-000024010000}"/>
    <cellStyle name="Финансовый 2 11 3" xfId="293" xr:uid="{00000000-0005-0000-0000-000025010000}"/>
    <cellStyle name="Финансовый 2 11 3 2" xfId="294" xr:uid="{00000000-0005-0000-0000-000026010000}"/>
    <cellStyle name="Финансовый 2 11 3 3" xfId="295" xr:uid="{00000000-0005-0000-0000-000027010000}"/>
    <cellStyle name="Финансовый 2 11 4" xfId="296" xr:uid="{00000000-0005-0000-0000-000028010000}"/>
    <cellStyle name="Финансовый 2 11 5" xfId="297" xr:uid="{00000000-0005-0000-0000-000029010000}"/>
    <cellStyle name="Финансовый 2 12" xfId="298" xr:uid="{00000000-0005-0000-0000-00002A010000}"/>
    <cellStyle name="Финансовый 2 12 2" xfId="299" xr:uid="{00000000-0005-0000-0000-00002B010000}"/>
    <cellStyle name="Финансовый 2 12 2 2" xfId="300" xr:uid="{00000000-0005-0000-0000-00002C010000}"/>
    <cellStyle name="Финансовый 2 12 2 2 2" xfId="301" xr:uid="{00000000-0005-0000-0000-00002D010000}"/>
    <cellStyle name="Финансовый 2 12 2 2 3" xfId="302" xr:uid="{00000000-0005-0000-0000-00002E010000}"/>
    <cellStyle name="Финансовый 2 12 2 3" xfId="303" xr:uid="{00000000-0005-0000-0000-00002F010000}"/>
    <cellStyle name="Финансовый 2 12 2 4" xfId="304" xr:uid="{00000000-0005-0000-0000-000030010000}"/>
    <cellStyle name="Финансовый 2 12 3" xfId="305" xr:uid="{00000000-0005-0000-0000-000031010000}"/>
    <cellStyle name="Финансовый 2 12 3 2" xfId="306" xr:uid="{00000000-0005-0000-0000-000032010000}"/>
    <cellStyle name="Финансовый 2 12 3 3" xfId="307" xr:uid="{00000000-0005-0000-0000-000033010000}"/>
    <cellStyle name="Финансовый 2 12 4" xfId="308" xr:uid="{00000000-0005-0000-0000-000034010000}"/>
    <cellStyle name="Финансовый 2 12 5" xfId="309" xr:uid="{00000000-0005-0000-0000-000035010000}"/>
    <cellStyle name="Финансовый 2 13" xfId="310" xr:uid="{00000000-0005-0000-0000-000036010000}"/>
    <cellStyle name="Финансовый 2 13 2" xfId="311" xr:uid="{00000000-0005-0000-0000-000037010000}"/>
    <cellStyle name="Финансовый 2 13 2 2" xfId="312" xr:uid="{00000000-0005-0000-0000-000038010000}"/>
    <cellStyle name="Финансовый 2 13 2 3" xfId="313" xr:uid="{00000000-0005-0000-0000-000039010000}"/>
    <cellStyle name="Финансовый 2 13 3" xfId="314" xr:uid="{00000000-0005-0000-0000-00003A010000}"/>
    <cellStyle name="Финансовый 2 13 4" xfId="315" xr:uid="{00000000-0005-0000-0000-00003B010000}"/>
    <cellStyle name="Финансовый 2 14" xfId="316" xr:uid="{00000000-0005-0000-0000-00003C010000}"/>
    <cellStyle name="Финансовый 2 14 2" xfId="317" xr:uid="{00000000-0005-0000-0000-00003D010000}"/>
    <cellStyle name="Финансовый 2 14 2 2" xfId="318" xr:uid="{00000000-0005-0000-0000-00003E010000}"/>
    <cellStyle name="Финансовый 2 14 2 3" xfId="319" xr:uid="{00000000-0005-0000-0000-00003F010000}"/>
    <cellStyle name="Финансовый 2 14 3" xfId="320" xr:uid="{00000000-0005-0000-0000-000040010000}"/>
    <cellStyle name="Финансовый 2 14 4" xfId="321" xr:uid="{00000000-0005-0000-0000-000041010000}"/>
    <cellStyle name="Финансовый 2 15" xfId="322" xr:uid="{00000000-0005-0000-0000-000042010000}"/>
    <cellStyle name="Финансовый 2 15 2" xfId="323" xr:uid="{00000000-0005-0000-0000-000043010000}"/>
    <cellStyle name="Финансовый 2 15 2 2" xfId="324" xr:uid="{00000000-0005-0000-0000-000044010000}"/>
    <cellStyle name="Финансовый 2 15 2 3" xfId="325" xr:uid="{00000000-0005-0000-0000-000045010000}"/>
    <cellStyle name="Финансовый 2 15 3" xfId="326" xr:uid="{00000000-0005-0000-0000-000046010000}"/>
    <cellStyle name="Финансовый 2 15 4" xfId="327" xr:uid="{00000000-0005-0000-0000-000047010000}"/>
    <cellStyle name="Финансовый 2 16" xfId="328" xr:uid="{00000000-0005-0000-0000-000048010000}"/>
    <cellStyle name="Финансовый 2 16 2" xfId="329" xr:uid="{00000000-0005-0000-0000-000049010000}"/>
    <cellStyle name="Финансовый 2 16 2 2" xfId="330" xr:uid="{00000000-0005-0000-0000-00004A010000}"/>
    <cellStyle name="Финансовый 2 16 2 3" xfId="331" xr:uid="{00000000-0005-0000-0000-00004B010000}"/>
    <cellStyle name="Финансовый 2 16 3" xfId="332" xr:uid="{00000000-0005-0000-0000-00004C010000}"/>
    <cellStyle name="Финансовый 2 16 4" xfId="333" xr:uid="{00000000-0005-0000-0000-00004D010000}"/>
    <cellStyle name="Финансовый 2 17" xfId="334" xr:uid="{00000000-0005-0000-0000-00004E010000}"/>
    <cellStyle name="Финансовый 2 17 2" xfId="335" xr:uid="{00000000-0005-0000-0000-00004F010000}"/>
    <cellStyle name="Финансовый 2 17 3" xfId="336" xr:uid="{00000000-0005-0000-0000-000050010000}"/>
    <cellStyle name="Финансовый 2 18" xfId="337" xr:uid="{00000000-0005-0000-0000-000051010000}"/>
    <cellStyle name="Финансовый 2 19" xfId="338" xr:uid="{00000000-0005-0000-0000-000052010000}"/>
    <cellStyle name="Финансовый 2 2" xfId="339" xr:uid="{00000000-0005-0000-0000-000053010000}"/>
    <cellStyle name="Финансовый 2 2 2" xfId="340" xr:uid="{00000000-0005-0000-0000-000054010000}"/>
    <cellStyle name="Финансовый 2 2 3" xfId="341" xr:uid="{00000000-0005-0000-0000-000055010000}"/>
    <cellStyle name="Финансовый 2 20" xfId="342" xr:uid="{00000000-0005-0000-0000-000056010000}"/>
    <cellStyle name="Финансовый 2 21" xfId="343" xr:uid="{00000000-0005-0000-0000-000057010000}"/>
    <cellStyle name="Финансовый 2 3" xfId="344" xr:uid="{00000000-0005-0000-0000-000058010000}"/>
    <cellStyle name="Финансовый 2 3 10" xfId="345" xr:uid="{00000000-0005-0000-0000-000059010000}"/>
    <cellStyle name="Финансовый 2 3 10 2" xfId="346" xr:uid="{00000000-0005-0000-0000-00005A010000}"/>
    <cellStyle name="Финансовый 2 3 10 2 2" xfId="347" xr:uid="{00000000-0005-0000-0000-00005B010000}"/>
    <cellStyle name="Финансовый 2 3 10 2 3" xfId="348" xr:uid="{00000000-0005-0000-0000-00005C010000}"/>
    <cellStyle name="Финансовый 2 3 10 3" xfId="349" xr:uid="{00000000-0005-0000-0000-00005D010000}"/>
    <cellStyle name="Финансовый 2 3 10 4" xfId="350" xr:uid="{00000000-0005-0000-0000-00005E010000}"/>
    <cellStyle name="Финансовый 2 3 11" xfId="351" xr:uid="{00000000-0005-0000-0000-00005F010000}"/>
    <cellStyle name="Финансовый 2 3 11 2" xfId="352" xr:uid="{00000000-0005-0000-0000-000060010000}"/>
    <cellStyle name="Финансовый 2 3 11 2 2" xfId="353" xr:uid="{00000000-0005-0000-0000-000061010000}"/>
    <cellStyle name="Финансовый 2 3 11 2 3" xfId="354" xr:uid="{00000000-0005-0000-0000-000062010000}"/>
    <cellStyle name="Финансовый 2 3 11 3" xfId="355" xr:uid="{00000000-0005-0000-0000-000063010000}"/>
    <cellStyle name="Финансовый 2 3 11 4" xfId="356" xr:uid="{00000000-0005-0000-0000-000064010000}"/>
    <cellStyle name="Финансовый 2 3 12" xfId="357" xr:uid="{00000000-0005-0000-0000-000065010000}"/>
    <cellStyle name="Финансовый 2 3 12 2" xfId="358" xr:uid="{00000000-0005-0000-0000-000066010000}"/>
    <cellStyle name="Финансовый 2 3 12 2 2" xfId="359" xr:uid="{00000000-0005-0000-0000-000067010000}"/>
    <cellStyle name="Финансовый 2 3 12 2 3" xfId="360" xr:uid="{00000000-0005-0000-0000-000068010000}"/>
    <cellStyle name="Финансовый 2 3 12 3" xfId="361" xr:uid="{00000000-0005-0000-0000-000069010000}"/>
    <cellStyle name="Финансовый 2 3 12 4" xfId="362" xr:uid="{00000000-0005-0000-0000-00006A010000}"/>
    <cellStyle name="Финансовый 2 3 13" xfId="363" xr:uid="{00000000-0005-0000-0000-00006B010000}"/>
    <cellStyle name="Финансовый 2 3 13 2" xfId="364" xr:uid="{00000000-0005-0000-0000-00006C010000}"/>
    <cellStyle name="Финансовый 2 3 13 3" xfId="365" xr:uid="{00000000-0005-0000-0000-00006D010000}"/>
    <cellStyle name="Финансовый 2 3 14" xfId="366" xr:uid="{00000000-0005-0000-0000-00006E010000}"/>
    <cellStyle name="Финансовый 2 3 15" xfId="367" xr:uid="{00000000-0005-0000-0000-00006F010000}"/>
    <cellStyle name="Финансовый 2 3 16" xfId="368" xr:uid="{00000000-0005-0000-0000-000070010000}"/>
    <cellStyle name="Финансовый 2 3 17" xfId="369" xr:uid="{00000000-0005-0000-0000-000071010000}"/>
    <cellStyle name="Финансовый 2 3 2" xfId="370" xr:uid="{00000000-0005-0000-0000-000072010000}"/>
    <cellStyle name="Финансовый 2 3 2 10" xfId="371" xr:uid="{00000000-0005-0000-0000-000073010000}"/>
    <cellStyle name="Финансовый 2 3 2 10 2" xfId="372" xr:uid="{00000000-0005-0000-0000-000074010000}"/>
    <cellStyle name="Финансовый 2 3 2 10 2 2" xfId="373" xr:uid="{00000000-0005-0000-0000-000075010000}"/>
    <cellStyle name="Финансовый 2 3 2 10 2 3" xfId="374" xr:uid="{00000000-0005-0000-0000-000076010000}"/>
    <cellStyle name="Финансовый 2 3 2 10 3" xfId="375" xr:uid="{00000000-0005-0000-0000-000077010000}"/>
    <cellStyle name="Финансовый 2 3 2 10 4" xfId="376" xr:uid="{00000000-0005-0000-0000-000078010000}"/>
    <cellStyle name="Финансовый 2 3 2 11" xfId="377" xr:uid="{00000000-0005-0000-0000-000079010000}"/>
    <cellStyle name="Финансовый 2 3 2 11 2" xfId="378" xr:uid="{00000000-0005-0000-0000-00007A010000}"/>
    <cellStyle name="Финансовый 2 3 2 11 2 2" xfId="379" xr:uid="{00000000-0005-0000-0000-00007B010000}"/>
    <cellStyle name="Финансовый 2 3 2 11 2 3" xfId="380" xr:uid="{00000000-0005-0000-0000-00007C010000}"/>
    <cellStyle name="Финансовый 2 3 2 11 3" xfId="381" xr:uid="{00000000-0005-0000-0000-00007D010000}"/>
    <cellStyle name="Финансовый 2 3 2 11 4" xfId="382" xr:uid="{00000000-0005-0000-0000-00007E010000}"/>
    <cellStyle name="Финансовый 2 3 2 12" xfId="383" xr:uid="{00000000-0005-0000-0000-00007F010000}"/>
    <cellStyle name="Финансовый 2 3 2 12 2" xfId="384" xr:uid="{00000000-0005-0000-0000-000080010000}"/>
    <cellStyle name="Финансовый 2 3 2 12 3" xfId="385" xr:uid="{00000000-0005-0000-0000-000081010000}"/>
    <cellStyle name="Финансовый 2 3 2 13" xfId="386" xr:uid="{00000000-0005-0000-0000-000082010000}"/>
    <cellStyle name="Финансовый 2 3 2 14" xfId="387" xr:uid="{00000000-0005-0000-0000-000083010000}"/>
    <cellStyle name="Финансовый 2 3 2 15" xfId="388" xr:uid="{00000000-0005-0000-0000-000084010000}"/>
    <cellStyle name="Финансовый 2 3 2 16" xfId="389" xr:uid="{00000000-0005-0000-0000-000085010000}"/>
    <cellStyle name="Финансовый 2 3 2 2" xfId="390" xr:uid="{00000000-0005-0000-0000-000086010000}"/>
    <cellStyle name="Финансовый 2 3 2 2 10" xfId="391" xr:uid="{00000000-0005-0000-0000-000087010000}"/>
    <cellStyle name="Финансовый 2 3 2 2 10 2" xfId="392" xr:uid="{00000000-0005-0000-0000-000088010000}"/>
    <cellStyle name="Финансовый 2 3 2 2 10 3" xfId="393" xr:uid="{00000000-0005-0000-0000-000089010000}"/>
    <cellStyle name="Финансовый 2 3 2 2 11" xfId="394" xr:uid="{00000000-0005-0000-0000-00008A010000}"/>
    <cellStyle name="Финансовый 2 3 2 2 12" xfId="395" xr:uid="{00000000-0005-0000-0000-00008B010000}"/>
    <cellStyle name="Финансовый 2 3 2 2 13" xfId="396" xr:uid="{00000000-0005-0000-0000-00008C010000}"/>
    <cellStyle name="Финансовый 2 3 2 2 14" xfId="397" xr:uid="{00000000-0005-0000-0000-00008D010000}"/>
    <cellStyle name="Финансовый 2 3 2 2 2" xfId="398" xr:uid="{00000000-0005-0000-0000-00008E010000}"/>
    <cellStyle name="Финансовый 2 3 2 2 2 10" xfId="399" xr:uid="{00000000-0005-0000-0000-00008F010000}"/>
    <cellStyle name="Финансовый 2 3 2 2 2 10 2" xfId="400" xr:uid="{00000000-0005-0000-0000-000090010000}"/>
    <cellStyle name="Финансовый 2 3 2 2 2 10 3" xfId="401" xr:uid="{00000000-0005-0000-0000-000091010000}"/>
    <cellStyle name="Финансовый 2 3 2 2 2 11" xfId="402" xr:uid="{00000000-0005-0000-0000-000092010000}"/>
    <cellStyle name="Финансовый 2 3 2 2 2 12" xfId="403" xr:uid="{00000000-0005-0000-0000-000093010000}"/>
    <cellStyle name="Финансовый 2 3 2 2 2 13" xfId="404" xr:uid="{00000000-0005-0000-0000-000094010000}"/>
    <cellStyle name="Финансовый 2 3 2 2 2 14" xfId="405" xr:uid="{00000000-0005-0000-0000-000095010000}"/>
    <cellStyle name="Финансовый 2 3 2 2 2 15" xfId="406" xr:uid="{00000000-0005-0000-0000-000096010000}"/>
    <cellStyle name="Финансовый 2 3 2 2 2 2" xfId="407" xr:uid="{00000000-0005-0000-0000-000097010000}"/>
    <cellStyle name="Финансовый 2 3 2 2 2 2 10" xfId="408" xr:uid="{00000000-0005-0000-0000-000098010000}"/>
    <cellStyle name="Финансовый 2 3 2 2 2 2 11" xfId="409" xr:uid="{00000000-0005-0000-0000-000099010000}"/>
    <cellStyle name="Финансовый 2 3 2 2 2 2 12" xfId="410" xr:uid="{00000000-0005-0000-0000-00009A010000}"/>
    <cellStyle name="Финансовый 2 3 2 2 2 2 13" xfId="411" xr:uid="{00000000-0005-0000-0000-00009B010000}"/>
    <cellStyle name="Финансовый 2 3 2 2 2 2 2" xfId="412" xr:uid="{00000000-0005-0000-0000-00009C010000}"/>
    <cellStyle name="Финансовый 2 3 2 2 2 2 2 2" xfId="413" xr:uid="{00000000-0005-0000-0000-00009D010000}"/>
    <cellStyle name="Финансовый 2 3 2 2 2 2 2 2 2" xfId="414" xr:uid="{00000000-0005-0000-0000-00009E010000}"/>
    <cellStyle name="Финансовый 2 3 2 2 2 2 2 2 2 2" xfId="415" xr:uid="{00000000-0005-0000-0000-00009F010000}"/>
    <cellStyle name="Финансовый 2 3 2 2 2 2 2 2 2 2 2" xfId="416" xr:uid="{00000000-0005-0000-0000-0000A0010000}"/>
    <cellStyle name="Финансовый 2 3 2 2 2 2 2 2 2 2 3" xfId="417" xr:uid="{00000000-0005-0000-0000-0000A1010000}"/>
    <cellStyle name="Финансовый 2 3 2 2 2 2 2 2 2 3" xfId="418" xr:uid="{00000000-0005-0000-0000-0000A2010000}"/>
    <cellStyle name="Финансовый 2 3 2 2 2 2 2 2 2 4" xfId="419" xr:uid="{00000000-0005-0000-0000-0000A3010000}"/>
    <cellStyle name="Финансовый 2 3 2 2 2 2 2 2 3" xfId="420" xr:uid="{00000000-0005-0000-0000-0000A4010000}"/>
    <cellStyle name="Финансовый 2 3 2 2 2 2 2 2 3 2" xfId="421" xr:uid="{00000000-0005-0000-0000-0000A5010000}"/>
    <cellStyle name="Финансовый 2 3 2 2 2 2 2 2 3 3" xfId="422" xr:uid="{00000000-0005-0000-0000-0000A6010000}"/>
    <cellStyle name="Финансовый 2 3 2 2 2 2 2 2 4" xfId="423" xr:uid="{00000000-0005-0000-0000-0000A7010000}"/>
    <cellStyle name="Финансовый 2 3 2 2 2 2 2 2 5" xfId="424" xr:uid="{00000000-0005-0000-0000-0000A8010000}"/>
    <cellStyle name="Финансовый 2 3 2 2 2 2 2 3" xfId="425" xr:uid="{00000000-0005-0000-0000-0000A9010000}"/>
    <cellStyle name="Финансовый 2 3 2 2 2 2 2 3 2" xfId="426" xr:uid="{00000000-0005-0000-0000-0000AA010000}"/>
    <cellStyle name="Финансовый 2 3 2 2 2 2 2 3 2 2" xfId="427" xr:uid="{00000000-0005-0000-0000-0000AB010000}"/>
    <cellStyle name="Финансовый 2 3 2 2 2 2 2 3 2 2 2" xfId="428" xr:uid="{00000000-0005-0000-0000-0000AC010000}"/>
    <cellStyle name="Финансовый 2 3 2 2 2 2 2 3 2 2 3" xfId="429" xr:uid="{00000000-0005-0000-0000-0000AD010000}"/>
    <cellStyle name="Финансовый 2 3 2 2 2 2 2 3 2 3" xfId="430" xr:uid="{00000000-0005-0000-0000-0000AE010000}"/>
    <cellStyle name="Финансовый 2 3 2 2 2 2 2 3 2 4" xfId="431" xr:uid="{00000000-0005-0000-0000-0000AF010000}"/>
    <cellStyle name="Финансовый 2 3 2 2 2 2 2 3 3" xfId="432" xr:uid="{00000000-0005-0000-0000-0000B0010000}"/>
    <cellStyle name="Финансовый 2 3 2 2 2 2 2 3 3 2" xfId="433" xr:uid="{00000000-0005-0000-0000-0000B1010000}"/>
    <cellStyle name="Финансовый 2 3 2 2 2 2 2 3 3 3" xfId="434" xr:uid="{00000000-0005-0000-0000-0000B2010000}"/>
    <cellStyle name="Финансовый 2 3 2 2 2 2 2 3 4" xfId="435" xr:uid="{00000000-0005-0000-0000-0000B3010000}"/>
    <cellStyle name="Финансовый 2 3 2 2 2 2 2 3 5" xfId="436" xr:uid="{00000000-0005-0000-0000-0000B4010000}"/>
    <cellStyle name="Финансовый 2 3 2 2 2 2 2 4" xfId="437" xr:uid="{00000000-0005-0000-0000-0000B5010000}"/>
    <cellStyle name="Финансовый 2 3 2 2 2 2 2 4 2" xfId="438" xr:uid="{00000000-0005-0000-0000-0000B6010000}"/>
    <cellStyle name="Финансовый 2 3 2 2 2 2 2 4 2 2" xfId="439" xr:uid="{00000000-0005-0000-0000-0000B7010000}"/>
    <cellStyle name="Финансовый 2 3 2 2 2 2 2 4 2 3" xfId="440" xr:uid="{00000000-0005-0000-0000-0000B8010000}"/>
    <cellStyle name="Финансовый 2 3 2 2 2 2 2 4 3" xfId="441" xr:uid="{00000000-0005-0000-0000-0000B9010000}"/>
    <cellStyle name="Финансовый 2 3 2 2 2 2 2 4 4" xfId="442" xr:uid="{00000000-0005-0000-0000-0000BA010000}"/>
    <cellStyle name="Финансовый 2 3 2 2 2 2 2 5" xfId="443" xr:uid="{00000000-0005-0000-0000-0000BB010000}"/>
    <cellStyle name="Финансовый 2 3 2 2 2 2 2 5 2" xfId="444" xr:uid="{00000000-0005-0000-0000-0000BC010000}"/>
    <cellStyle name="Финансовый 2 3 2 2 2 2 2 5 3" xfId="445" xr:uid="{00000000-0005-0000-0000-0000BD010000}"/>
    <cellStyle name="Финансовый 2 3 2 2 2 2 2 6" xfId="446" xr:uid="{00000000-0005-0000-0000-0000BE010000}"/>
    <cellStyle name="Финансовый 2 3 2 2 2 2 2 7" xfId="447" xr:uid="{00000000-0005-0000-0000-0000BF010000}"/>
    <cellStyle name="Финансовый 2 3 2 2 2 2 2 8" xfId="448" xr:uid="{00000000-0005-0000-0000-0000C0010000}"/>
    <cellStyle name="Финансовый 2 3 2 2 2 2 3" xfId="449" xr:uid="{00000000-0005-0000-0000-0000C1010000}"/>
    <cellStyle name="Финансовый 2 3 2 2 2 2 3 2" xfId="450" xr:uid="{00000000-0005-0000-0000-0000C2010000}"/>
    <cellStyle name="Финансовый 2 3 2 2 2 2 3 2 2" xfId="451" xr:uid="{00000000-0005-0000-0000-0000C3010000}"/>
    <cellStyle name="Финансовый 2 3 2 2 2 2 3 2 2 2" xfId="452" xr:uid="{00000000-0005-0000-0000-0000C4010000}"/>
    <cellStyle name="Финансовый 2 3 2 2 2 2 3 2 2 3" xfId="453" xr:uid="{00000000-0005-0000-0000-0000C5010000}"/>
    <cellStyle name="Финансовый 2 3 2 2 2 2 3 2 3" xfId="454" xr:uid="{00000000-0005-0000-0000-0000C6010000}"/>
    <cellStyle name="Финансовый 2 3 2 2 2 2 3 2 4" xfId="455" xr:uid="{00000000-0005-0000-0000-0000C7010000}"/>
    <cellStyle name="Финансовый 2 3 2 2 2 2 3 3" xfId="456" xr:uid="{00000000-0005-0000-0000-0000C8010000}"/>
    <cellStyle name="Финансовый 2 3 2 2 2 2 3 3 2" xfId="457" xr:uid="{00000000-0005-0000-0000-0000C9010000}"/>
    <cellStyle name="Финансовый 2 3 2 2 2 2 3 3 3" xfId="458" xr:uid="{00000000-0005-0000-0000-0000CA010000}"/>
    <cellStyle name="Финансовый 2 3 2 2 2 2 3 4" xfId="459" xr:uid="{00000000-0005-0000-0000-0000CB010000}"/>
    <cellStyle name="Финансовый 2 3 2 2 2 2 3 5" xfId="460" xr:uid="{00000000-0005-0000-0000-0000CC010000}"/>
    <cellStyle name="Финансовый 2 3 2 2 2 2 4" xfId="461" xr:uid="{00000000-0005-0000-0000-0000CD010000}"/>
    <cellStyle name="Финансовый 2 3 2 2 2 2 4 2" xfId="462" xr:uid="{00000000-0005-0000-0000-0000CE010000}"/>
    <cellStyle name="Финансовый 2 3 2 2 2 2 4 2 2" xfId="463" xr:uid="{00000000-0005-0000-0000-0000CF010000}"/>
    <cellStyle name="Финансовый 2 3 2 2 2 2 4 2 2 2" xfId="464" xr:uid="{00000000-0005-0000-0000-0000D0010000}"/>
    <cellStyle name="Финансовый 2 3 2 2 2 2 4 2 2 3" xfId="465" xr:uid="{00000000-0005-0000-0000-0000D1010000}"/>
    <cellStyle name="Финансовый 2 3 2 2 2 2 4 2 3" xfId="466" xr:uid="{00000000-0005-0000-0000-0000D2010000}"/>
    <cellStyle name="Финансовый 2 3 2 2 2 2 4 2 4" xfId="467" xr:uid="{00000000-0005-0000-0000-0000D3010000}"/>
    <cellStyle name="Финансовый 2 3 2 2 2 2 4 3" xfId="468" xr:uid="{00000000-0005-0000-0000-0000D4010000}"/>
    <cellStyle name="Финансовый 2 3 2 2 2 2 4 3 2" xfId="469" xr:uid="{00000000-0005-0000-0000-0000D5010000}"/>
    <cellStyle name="Финансовый 2 3 2 2 2 2 4 3 3" xfId="470" xr:uid="{00000000-0005-0000-0000-0000D6010000}"/>
    <cellStyle name="Финансовый 2 3 2 2 2 2 4 4" xfId="471" xr:uid="{00000000-0005-0000-0000-0000D7010000}"/>
    <cellStyle name="Финансовый 2 3 2 2 2 2 4 5" xfId="472" xr:uid="{00000000-0005-0000-0000-0000D8010000}"/>
    <cellStyle name="Финансовый 2 3 2 2 2 2 5" xfId="473" xr:uid="{00000000-0005-0000-0000-0000D9010000}"/>
    <cellStyle name="Финансовый 2 3 2 2 2 2 5 2" xfId="474" xr:uid="{00000000-0005-0000-0000-0000DA010000}"/>
    <cellStyle name="Финансовый 2 3 2 2 2 2 5 2 2" xfId="475" xr:uid="{00000000-0005-0000-0000-0000DB010000}"/>
    <cellStyle name="Финансовый 2 3 2 2 2 2 5 2 3" xfId="476" xr:uid="{00000000-0005-0000-0000-0000DC010000}"/>
    <cellStyle name="Финансовый 2 3 2 2 2 2 5 3" xfId="477" xr:uid="{00000000-0005-0000-0000-0000DD010000}"/>
    <cellStyle name="Финансовый 2 3 2 2 2 2 5 4" xfId="478" xr:uid="{00000000-0005-0000-0000-0000DE010000}"/>
    <cellStyle name="Финансовый 2 3 2 2 2 2 6" xfId="479" xr:uid="{00000000-0005-0000-0000-0000DF010000}"/>
    <cellStyle name="Финансовый 2 3 2 2 2 2 6 2" xfId="480" xr:uid="{00000000-0005-0000-0000-0000E0010000}"/>
    <cellStyle name="Финансовый 2 3 2 2 2 2 6 2 2" xfId="481" xr:uid="{00000000-0005-0000-0000-0000E1010000}"/>
    <cellStyle name="Финансовый 2 3 2 2 2 2 6 2 3" xfId="482" xr:uid="{00000000-0005-0000-0000-0000E2010000}"/>
    <cellStyle name="Финансовый 2 3 2 2 2 2 6 3" xfId="483" xr:uid="{00000000-0005-0000-0000-0000E3010000}"/>
    <cellStyle name="Финансовый 2 3 2 2 2 2 6 4" xfId="484" xr:uid="{00000000-0005-0000-0000-0000E4010000}"/>
    <cellStyle name="Финансовый 2 3 2 2 2 2 7" xfId="485" xr:uid="{00000000-0005-0000-0000-0000E5010000}"/>
    <cellStyle name="Финансовый 2 3 2 2 2 2 7 2" xfId="486" xr:uid="{00000000-0005-0000-0000-0000E6010000}"/>
    <cellStyle name="Финансовый 2 3 2 2 2 2 7 2 2" xfId="487" xr:uid="{00000000-0005-0000-0000-0000E7010000}"/>
    <cellStyle name="Финансовый 2 3 2 2 2 2 7 2 3" xfId="488" xr:uid="{00000000-0005-0000-0000-0000E8010000}"/>
    <cellStyle name="Финансовый 2 3 2 2 2 2 7 3" xfId="489" xr:uid="{00000000-0005-0000-0000-0000E9010000}"/>
    <cellStyle name="Финансовый 2 3 2 2 2 2 7 4" xfId="490" xr:uid="{00000000-0005-0000-0000-0000EA010000}"/>
    <cellStyle name="Финансовый 2 3 2 2 2 2 8" xfId="491" xr:uid="{00000000-0005-0000-0000-0000EB010000}"/>
    <cellStyle name="Финансовый 2 3 2 2 2 2 8 2" xfId="492" xr:uid="{00000000-0005-0000-0000-0000EC010000}"/>
    <cellStyle name="Финансовый 2 3 2 2 2 2 8 2 2" xfId="493" xr:uid="{00000000-0005-0000-0000-0000ED010000}"/>
    <cellStyle name="Финансовый 2 3 2 2 2 2 8 2 3" xfId="494" xr:uid="{00000000-0005-0000-0000-0000EE010000}"/>
    <cellStyle name="Финансовый 2 3 2 2 2 2 8 3" xfId="495" xr:uid="{00000000-0005-0000-0000-0000EF010000}"/>
    <cellStyle name="Финансовый 2 3 2 2 2 2 8 4" xfId="496" xr:uid="{00000000-0005-0000-0000-0000F0010000}"/>
    <cellStyle name="Финансовый 2 3 2 2 2 2 9" xfId="497" xr:uid="{00000000-0005-0000-0000-0000F1010000}"/>
    <cellStyle name="Финансовый 2 3 2 2 2 2 9 2" xfId="498" xr:uid="{00000000-0005-0000-0000-0000F2010000}"/>
    <cellStyle name="Финансовый 2 3 2 2 2 2 9 3" xfId="499" xr:uid="{00000000-0005-0000-0000-0000F3010000}"/>
    <cellStyle name="Финансовый 2 3 2 2 2 3" xfId="500" xr:uid="{00000000-0005-0000-0000-0000F4010000}"/>
    <cellStyle name="Финансовый 2 3 2 2 2 3 2" xfId="501" xr:uid="{00000000-0005-0000-0000-0000F5010000}"/>
    <cellStyle name="Финансовый 2 3 2 2 2 3 2 2" xfId="502" xr:uid="{00000000-0005-0000-0000-0000F6010000}"/>
    <cellStyle name="Финансовый 2 3 2 2 2 3 2 2 2" xfId="503" xr:uid="{00000000-0005-0000-0000-0000F7010000}"/>
    <cellStyle name="Финансовый 2 3 2 2 2 3 2 2 2 2" xfId="504" xr:uid="{00000000-0005-0000-0000-0000F8010000}"/>
    <cellStyle name="Финансовый 2 3 2 2 2 3 2 2 2 3" xfId="505" xr:uid="{00000000-0005-0000-0000-0000F9010000}"/>
    <cellStyle name="Финансовый 2 3 2 2 2 3 2 2 3" xfId="506" xr:uid="{00000000-0005-0000-0000-0000FA010000}"/>
    <cellStyle name="Финансовый 2 3 2 2 2 3 2 2 4" xfId="507" xr:uid="{00000000-0005-0000-0000-0000FB010000}"/>
    <cellStyle name="Финансовый 2 3 2 2 2 3 2 3" xfId="508" xr:uid="{00000000-0005-0000-0000-0000FC010000}"/>
    <cellStyle name="Финансовый 2 3 2 2 2 3 2 3 2" xfId="509" xr:uid="{00000000-0005-0000-0000-0000FD010000}"/>
    <cellStyle name="Финансовый 2 3 2 2 2 3 2 3 3" xfId="510" xr:uid="{00000000-0005-0000-0000-0000FE010000}"/>
    <cellStyle name="Финансовый 2 3 2 2 2 3 2 4" xfId="511" xr:uid="{00000000-0005-0000-0000-0000FF010000}"/>
    <cellStyle name="Финансовый 2 3 2 2 2 3 2 5" xfId="512" xr:uid="{00000000-0005-0000-0000-000000020000}"/>
    <cellStyle name="Финансовый 2 3 2 2 2 3 3" xfId="513" xr:uid="{00000000-0005-0000-0000-000001020000}"/>
    <cellStyle name="Финансовый 2 3 2 2 2 3 3 2" xfId="514" xr:uid="{00000000-0005-0000-0000-000002020000}"/>
    <cellStyle name="Финансовый 2 3 2 2 2 3 3 2 2" xfId="515" xr:uid="{00000000-0005-0000-0000-000003020000}"/>
    <cellStyle name="Финансовый 2 3 2 2 2 3 3 2 2 2" xfId="516" xr:uid="{00000000-0005-0000-0000-000004020000}"/>
    <cellStyle name="Финансовый 2 3 2 2 2 3 3 2 2 3" xfId="517" xr:uid="{00000000-0005-0000-0000-000005020000}"/>
    <cellStyle name="Финансовый 2 3 2 2 2 3 3 2 3" xfId="518" xr:uid="{00000000-0005-0000-0000-000006020000}"/>
    <cellStyle name="Финансовый 2 3 2 2 2 3 3 2 4" xfId="519" xr:uid="{00000000-0005-0000-0000-000007020000}"/>
    <cellStyle name="Финансовый 2 3 2 2 2 3 3 3" xfId="520" xr:uid="{00000000-0005-0000-0000-000008020000}"/>
    <cellStyle name="Финансовый 2 3 2 2 2 3 3 3 2" xfId="521" xr:uid="{00000000-0005-0000-0000-000009020000}"/>
    <cellStyle name="Финансовый 2 3 2 2 2 3 3 3 3" xfId="522" xr:uid="{00000000-0005-0000-0000-00000A020000}"/>
    <cellStyle name="Финансовый 2 3 2 2 2 3 3 4" xfId="523" xr:uid="{00000000-0005-0000-0000-00000B020000}"/>
    <cellStyle name="Финансовый 2 3 2 2 2 3 3 5" xfId="524" xr:uid="{00000000-0005-0000-0000-00000C020000}"/>
    <cellStyle name="Финансовый 2 3 2 2 2 3 4" xfId="525" xr:uid="{00000000-0005-0000-0000-00000D020000}"/>
    <cellStyle name="Финансовый 2 3 2 2 2 3 4 2" xfId="526" xr:uid="{00000000-0005-0000-0000-00000E020000}"/>
    <cellStyle name="Финансовый 2 3 2 2 2 3 4 2 2" xfId="527" xr:uid="{00000000-0005-0000-0000-00000F020000}"/>
    <cellStyle name="Финансовый 2 3 2 2 2 3 4 2 3" xfId="528" xr:uid="{00000000-0005-0000-0000-000010020000}"/>
    <cellStyle name="Финансовый 2 3 2 2 2 3 4 3" xfId="529" xr:uid="{00000000-0005-0000-0000-000011020000}"/>
    <cellStyle name="Финансовый 2 3 2 2 2 3 4 4" xfId="530" xr:uid="{00000000-0005-0000-0000-000012020000}"/>
    <cellStyle name="Финансовый 2 3 2 2 2 3 5" xfId="531" xr:uid="{00000000-0005-0000-0000-000013020000}"/>
    <cellStyle name="Финансовый 2 3 2 2 2 3 5 2" xfId="532" xr:uid="{00000000-0005-0000-0000-000014020000}"/>
    <cellStyle name="Финансовый 2 3 2 2 2 3 5 3" xfId="533" xr:uid="{00000000-0005-0000-0000-000015020000}"/>
    <cellStyle name="Финансовый 2 3 2 2 2 3 6" xfId="534" xr:uid="{00000000-0005-0000-0000-000016020000}"/>
    <cellStyle name="Финансовый 2 3 2 2 2 3 7" xfId="535" xr:uid="{00000000-0005-0000-0000-000017020000}"/>
    <cellStyle name="Финансовый 2 3 2 2 2 3 8" xfId="536" xr:uid="{00000000-0005-0000-0000-000018020000}"/>
    <cellStyle name="Финансовый 2 3 2 2 2 4" xfId="537" xr:uid="{00000000-0005-0000-0000-000019020000}"/>
    <cellStyle name="Финансовый 2 3 2 2 2 4 2" xfId="538" xr:uid="{00000000-0005-0000-0000-00001A020000}"/>
    <cellStyle name="Финансовый 2 3 2 2 2 4 2 2" xfId="539" xr:uid="{00000000-0005-0000-0000-00001B020000}"/>
    <cellStyle name="Финансовый 2 3 2 2 2 4 2 2 2" xfId="540" xr:uid="{00000000-0005-0000-0000-00001C020000}"/>
    <cellStyle name="Финансовый 2 3 2 2 2 4 2 2 3" xfId="541" xr:uid="{00000000-0005-0000-0000-00001D020000}"/>
    <cellStyle name="Финансовый 2 3 2 2 2 4 2 3" xfId="542" xr:uid="{00000000-0005-0000-0000-00001E020000}"/>
    <cellStyle name="Финансовый 2 3 2 2 2 4 2 4" xfId="543" xr:uid="{00000000-0005-0000-0000-00001F020000}"/>
    <cellStyle name="Финансовый 2 3 2 2 2 4 3" xfId="544" xr:uid="{00000000-0005-0000-0000-000020020000}"/>
    <cellStyle name="Финансовый 2 3 2 2 2 4 3 2" xfId="545" xr:uid="{00000000-0005-0000-0000-000021020000}"/>
    <cellStyle name="Финансовый 2 3 2 2 2 4 3 3" xfId="546" xr:uid="{00000000-0005-0000-0000-000022020000}"/>
    <cellStyle name="Финансовый 2 3 2 2 2 4 4" xfId="547" xr:uid="{00000000-0005-0000-0000-000023020000}"/>
    <cellStyle name="Финансовый 2 3 2 2 2 4 5" xfId="548" xr:uid="{00000000-0005-0000-0000-000024020000}"/>
    <cellStyle name="Финансовый 2 3 2 2 2 4 6" xfId="549" xr:uid="{00000000-0005-0000-0000-000025020000}"/>
    <cellStyle name="Финансовый 2 3 2 2 2 5" xfId="550" xr:uid="{00000000-0005-0000-0000-000026020000}"/>
    <cellStyle name="Финансовый 2 3 2 2 2 5 2" xfId="551" xr:uid="{00000000-0005-0000-0000-000027020000}"/>
    <cellStyle name="Финансовый 2 3 2 2 2 5 2 2" xfId="552" xr:uid="{00000000-0005-0000-0000-000028020000}"/>
    <cellStyle name="Финансовый 2 3 2 2 2 5 2 2 2" xfId="553" xr:uid="{00000000-0005-0000-0000-000029020000}"/>
    <cellStyle name="Финансовый 2 3 2 2 2 5 2 2 3" xfId="554" xr:uid="{00000000-0005-0000-0000-00002A020000}"/>
    <cellStyle name="Финансовый 2 3 2 2 2 5 2 3" xfId="555" xr:uid="{00000000-0005-0000-0000-00002B020000}"/>
    <cellStyle name="Финансовый 2 3 2 2 2 5 2 4" xfId="556" xr:uid="{00000000-0005-0000-0000-00002C020000}"/>
    <cellStyle name="Финансовый 2 3 2 2 2 5 3" xfId="557" xr:uid="{00000000-0005-0000-0000-00002D020000}"/>
    <cellStyle name="Финансовый 2 3 2 2 2 5 3 2" xfId="558" xr:uid="{00000000-0005-0000-0000-00002E020000}"/>
    <cellStyle name="Финансовый 2 3 2 2 2 5 3 3" xfId="559" xr:uid="{00000000-0005-0000-0000-00002F020000}"/>
    <cellStyle name="Финансовый 2 3 2 2 2 5 4" xfId="560" xr:uid="{00000000-0005-0000-0000-000030020000}"/>
    <cellStyle name="Финансовый 2 3 2 2 2 5 5" xfId="561" xr:uid="{00000000-0005-0000-0000-000031020000}"/>
    <cellStyle name="Финансовый 2 3 2 2 2 6" xfId="562" xr:uid="{00000000-0005-0000-0000-000032020000}"/>
    <cellStyle name="Финансовый 2 3 2 2 2 6 2" xfId="563" xr:uid="{00000000-0005-0000-0000-000033020000}"/>
    <cellStyle name="Финансовый 2 3 2 2 2 6 2 2" xfId="564" xr:uid="{00000000-0005-0000-0000-000034020000}"/>
    <cellStyle name="Финансовый 2 3 2 2 2 6 2 3" xfId="565" xr:uid="{00000000-0005-0000-0000-000035020000}"/>
    <cellStyle name="Финансовый 2 3 2 2 2 6 3" xfId="566" xr:uid="{00000000-0005-0000-0000-000036020000}"/>
    <cellStyle name="Финансовый 2 3 2 2 2 6 4" xfId="567" xr:uid="{00000000-0005-0000-0000-000037020000}"/>
    <cellStyle name="Финансовый 2 3 2 2 2 7" xfId="568" xr:uid="{00000000-0005-0000-0000-000038020000}"/>
    <cellStyle name="Финансовый 2 3 2 2 2 7 2" xfId="569" xr:uid="{00000000-0005-0000-0000-000039020000}"/>
    <cellStyle name="Финансовый 2 3 2 2 2 7 2 2" xfId="570" xr:uid="{00000000-0005-0000-0000-00003A020000}"/>
    <cellStyle name="Финансовый 2 3 2 2 2 7 2 3" xfId="571" xr:uid="{00000000-0005-0000-0000-00003B020000}"/>
    <cellStyle name="Финансовый 2 3 2 2 2 7 3" xfId="572" xr:uid="{00000000-0005-0000-0000-00003C020000}"/>
    <cellStyle name="Финансовый 2 3 2 2 2 7 4" xfId="573" xr:uid="{00000000-0005-0000-0000-00003D020000}"/>
    <cellStyle name="Финансовый 2 3 2 2 2 8" xfId="574" xr:uid="{00000000-0005-0000-0000-00003E020000}"/>
    <cellStyle name="Финансовый 2 3 2 2 2 8 2" xfId="575" xr:uid="{00000000-0005-0000-0000-00003F020000}"/>
    <cellStyle name="Финансовый 2 3 2 2 2 8 2 2" xfId="576" xr:uid="{00000000-0005-0000-0000-000040020000}"/>
    <cellStyle name="Финансовый 2 3 2 2 2 8 2 3" xfId="577" xr:uid="{00000000-0005-0000-0000-000041020000}"/>
    <cellStyle name="Финансовый 2 3 2 2 2 8 3" xfId="578" xr:uid="{00000000-0005-0000-0000-000042020000}"/>
    <cellStyle name="Финансовый 2 3 2 2 2 8 4" xfId="579" xr:uid="{00000000-0005-0000-0000-000043020000}"/>
    <cellStyle name="Финансовый 2 3 2 2 2 9" xfId="580" xr:uid="{00000000-0005-0000-0000-000044020000}"/>
    <cellStyle name="Финансовый 2 3 2 2 2 9 2" xfId="581" xr:uid="{00000000-0005-0000-0000-000045020000}"/>
    <cellStyle name="Финансовый 2 3 2 2 2 9 2 2" xfId="582" xr:uid="{00000000-0005-0000-0000-000046020000}"/>
    <cellStyle name="Финансовый 2 3 2 2 2 9 2 3" xfId="583" xr:uid="{00000000-0005-0000-0000-000047020000}"/>
    <cellStyle name="Финансовый 2 3 2 2 2 9 3" xfId="584" xr:uid="{00000000-0005-0000-0000-000048020000}"/>
    <cellStyle name="Финансовый 2 3 2 2 2 9 4" xfId="585" xr:uid="{00000000-0005-0000-0000-000049020000}"/>
    <cellStyle name="Финансовый 2 3 2 2 3" xfId="586" xr:uid="{00000000-0005-0000-0000-00004A020000}"/>
    <cellStyle name="Финансовый 2 3 2 2 3 2" xfId="587" xr:uid="{00000000-0005-0000-0000-00004B020000}"/>
    <cellStyle name="Финансовый 2 3 2 2 3 2 2" xfId="588" xr:uid="{00000000-0005-0000-0000-00004C020000}"/>
    <cellStyle name="Финансовый 2 3 2 2 3 2 2 2" xfId="589" xr:uid="{00000000-0005-0000-0000-00004D020000}"/>
    <cellStyle name="Финансовый 2 3 2 2 3 2 2 2 2" xfId="590" xr:uid="{00000000-0005-0000-0000-00004E020000}"/>
    <cellStyle name="Финансовый 2 3 2 2 3 2 2 2 3" xfId="591" xr:uid="{00000000-0005-0000-0000-00004F020000}"/>
    <cellStyle name="Финансовый 2 3 2 2 3 2 2 3" xfId="592" xr:uid="{00000000-0005-0000-0000-000050020000}"/>
    <cellStyle name="Финансовый 2 3 2 2 3 2 2 4" xfId="593" xr:uid="{00000000-0005-0000-0000-000051020000}"/>
    <cellStyle name="Финансовый 2 3 2 2 3 2 3" xfId="594" xr:uid="{00000000-0005-0000-0000-000052020000}"/>
    <cellStyle name="Финансовый 2 3 2 2 3 2 3 2" xfId="595" xr:uid="{00000000-0005-0000-0000-000053020000}"/>
    <cellStyle name="Финансовый 2 3 2 2 3 2 3 3" xfId="596" xr:uid="{00000000-0005-0000-0000-000054020000}"/>
    <cellStyle name="Финансовый 2 3 2 2 3 2 4" xfId="597" xr:uid="{00000000-0005-0000-0000-000055020000}"/>
    <cellStyle name="Финансовый 2 3 2 2 3 2 5" xfId="598" xr:uid="{00000000-0005-0000-0000-000056020000}"/>
    <cellStyle name="Финансовый 2 3 2 2 3 3" xfId="599" xr:uid="{00000000-0005-0000-0000-000057020000}"/>
    <cellStyle name="Финансовый 2 3 2 2 3 3 2" xfId="600" xr:uid="{00000000-0005-0000-0000-000058020000}"/>
    <cellStyle name="Финансовый 2 3 2 2 3 3 2 2" xfId="601" xr:uid="{00000000-0005-0000-0000-000059020000}"/>
    <cellStyle name="Финансовый 2 3 2 2 3 3 2 2 2" xfId="602" xr:uid="{00000000-0005-0000-0000-00005A020000}"/>
    <cellStyle name="Финансовый 2 3 2 2 3 3 2 2 3" xfId="603" xr:uid="{00000000-0005-0000-0000-00005B020000}"/>
    <cellStyle name="Финансовый 2 3 2 2 3 3 2 3" xfId="604" xr:uid="{00000000-0005-0000-0000-00005C020000}"/>
    <cellStyle name="Финансовый 2 3 2 2 3 3 2 4" xfId="605" xr:uid="{00000000-0005-0000-0000-00005D020000}"/>
    <cellStyle name="Финансовый 2 3 2 2 3 3 3" xfId="606" xr:uid="{00000000-0005-0000-0000-00005E020000}"/>
    <cellStyle name="Финансовый 2 3 2 2 3 3 3 2" xfId="607" xr:uid="{00000000-0005-0000-0000-00005F020000}"/>
    <cellStyle name="Финансовый 2 3 2 2 3 3 3 3" xfId="608" xr:uid="{00000000-0005-0000-0000-000060020000}"/>
    <cellStyle name="Финансовый 2 3 2 2 3 3 4" xfId="609" xr:uid="{00000000-0005-0000-0000-000061020000}"/>
    <cellStyle name="Финансовый 2 3 2 2 3 3 5" xfId="610" xr:uid="{00000000-0005-0000-0000-000062020000}"/>
    <cellStyle name="Финансовый 2 3 2 2 3 4" xfId="611" xr:uid="{00000000-0005-0000-0000-000063020000}"/>
    <cellStyle name="Финансовый 2 3 2 2 3 4 2" xfId="612" xr:uid="{00000000-0005-0000-0000-000064020000}"/>
    <cellStyle name="Финансовый 2 3 2 2 3 4 2 2" xfId="613" xr:uid="{00000000-0005-0000-0000-000065020000}"/>
    <cellStyle name="Финансовый 2 3 2 2 3 4 2 3" xfId="614" xr:uid="{00000000-0005-0000-0000-000066020000}"/>
    <cellStyle name="Финансовый 2 3 2 2 3 4 3" xfId="615" xr:uid="{00000000-0005-0000-0000-000067020000}"/>
    <cellStyle name="Финансовый 2 3 2 2 3 4 4" xfId="616" xr:uid="{00000000-0005-0000-0000-000068020000}"/>
    <cellStyle name="Финансовый 2 3 2 2 3 5" xfId="617" xr:uid="{00000000-0005-0000-0000-000069020000}"/>
    <cellStyle name="Финансовый 2 3 2 2 3 5 2" xfId="618" xr:uid="{00000000-0005-0000-0000-00006A020000}"/>
    <cellStyle name="Финансовый 2 3 2 2 3 5 3" xfId="619" xr:uid="{00000000-0005-0000-0000-00006B020000}"/>
    <cellStyle name="Финансовый 2 3 2 2 3 6" xfId="620" xr:uid="{00000000-0005-0000-0000-00006C020000}"/>
    <cellStyle name="Финансовый 2 3 2 2 3 7" xfId="621" xr:uid="{00000000-0005-0000-0000-00006D020000}"/>
    <cellStyle name="Финансовый 2 3 2 2 3 8" xfId="622" xr:uid="{00000000-0005-0000-0000-00006E020000}"/>
    <cellStyle name="Финансовый 2 3 2 2 4" xfId="623" xr:uid="{00000000-0005-0000-0000-00006F020000}"/>
    <cellStyle name="Финансовый 2 3 2 2 4 2" xfId="624" xr:uid="{00000000-0005-0000-0000-000070020000}"/>
    <cellStyle name="Финансовый 2 3 2 2 4 2 2" xfId="625" xr:uid="{00000000-0005-0000-0000-000071020000}"/>
    <cellStyle name="Финансовый 2 3 2 2 4 2 2 2" xfId="626" xr:uid="{00000000-0005-0000-0000-000072020000}"/>
    <cellStyle name="Финансовый 2 3 2 2 4 2 2 3" xfId="627" xr:uid="{00000000-0005-0000-0000-000073020000}"/>
    <cellStyle name="Финансовый 2 3 2 2 4 2 3" xfId="628" xr:uid="{00000000-0005-0000-0000-000074020000}"/>
    <cellStyle name="Финансовый 2 3 2 2 4 2 4" xfId="629" xr:uid="{00000000-0005-0000-0000-000075020000}"/>
    <cellStyle name="Финансовый 2 3 2 2 4 3" xfId="630" xr:uid="{00000000-0005-0000-0000-000076020000}"/>
    <cellStyle name="Финансовый 2 3 2 2 4 3 2" xfId="631" xr:uid="{00000000-0005-0000-0000-000077020000}"/>
    <cellStyle name="Финансовый 2 3 2 2 4 3 3" xfId="632" xr:uid="{00000000-0005-0000-0000-000078020000}"/>
    <cellStyle name="Финансовый 2 3 2 2 4 4" xfId="633" xr:uid="{00000000-0005-0000-0000-000079020000}"/>
    <cellStyle name="Финансовый 2 3 2 2 4 5" xfId="634" xr:uid="{00000000-0005-0000-0000-00007A020000}"/>
    <cellStyle name="Финансовый 2 3 2 2 5" xfId="635" xr:uid="{00000000-0005-0000-0000-00007B020000}"/>
    <cellStyle name="Финансовый 2 3 2 2 5 2" xfId="636" xr:uid="{00000000-0005-0000-0000-00007C020000}"/>
    <cellStyle name="Финансовый 2 3 2 2 5 2 2" xfId="637" xr:uid="{00000000-0005-0000-0000-00007D020000}"/>
    <cellStyle name="Финансовый 2 3 2 2 5 2 2 2" xfId="638" xr:uid="{00000000-0005-0000-0000-00007E020000}"/>
    <cellStyle name="Финансовый 2 3 2 2 5 2 2 3" xfId="639" xr:uid="{00000000-0005-0000-0000-00007F020000}"/>
    <cellStyle name="Финансовый 2 3 2 2 5 2 3" xfId="640" xr:uid="{00000000-0005-0000-0000-000080020000}"/>
    <cellStyle name="Финансовый 2 3 2 2 5 2 4" xfId="641" xr:uid="{00000000-0005-0000-0000-000081020000}"/>
    <cellStyle name="Финансовый 2 3 2 2 5 3" xfId="642" xr:uid="{00000000-0005-0000-0000-000082020000}"/>
    <cellStyle name="Финансовый 2 3 2 2 5 3 2" xfId="643" xr:uid="{00000000-0005-0000-0000-000083020000}"/>
    <cellStyle name="Финансовый 2 3 2 2 5 3 3" xfId="644" xr:uid="{00000000-0005-0000-0000-000084020000}"/>
    <cellStyle name="Финансовый 2 3 2 2 5 4" xfId="645" xr:uid="{00000000-0005-0000-0000-000085020000}"/>
    <cellStyle name="Финансовый 2 3 2 2 5 5" xfId="646" xr:uid="{00000000-0005-0000-0000-000086020000}"/>
    <cellStyle name="Финансовый 2 3 2 2 6" xfId="647" xr:uid="{00000000-0005-0000-0000-000087020000}"/>
    <cellStyle name="Финансовый 2 3 2 2 6 2" xfId="648" xr:uid="{00000000-0005-0000-0000-000088020000}"/>
    <cellStyle name="Финансовый 2 3 2 2 6 2 2" xfId="649" xr:uid="{00000000-0005-0000-0000-000089020000}"/>
    <cellStyle name="Финансовый 2 3 2 2 6 2 3" xfId="650" xr:uid="{00000000-0005-0000-0000-00008A020000}"/>
    <cellStyle name="Финансовый 2 3 2 2 6 3" xfId="651" xr:uid="{00000000-0005-0000-0000-00008B020000}"/>
    <cellStyle name="Финансовый 2 3 2 2 6 4" xfId="652" xr:uid="{00000000-0005-0000-0000-00008C020000}"/>
    <cellStyle name="Финансовый 2 3 2 2 7" xfId="653" xr:uid="{00000000-0005-0000-0000-00008D020000}"/>
    <cellStyle name="Финансовый 2 3 2 2 7 2" xfId="654" xr:uid="{00000000-0005-0000-0000-00008E020000}"/>
    <cellStyle name="Финансовый 2 3 2 2 7 2 2" xfId="655" xr:uid="{00000000-0005-0000-0000-00008F020000}"/>
    <cellStyle name="Финансовый 2 3 2 2 7 2 3" xfId="656" xr:uid="{00000000-0005-0000-0000-000090020000}"/>
    <cellStyle name="Финансовый 2 3 2 2 7 3" xfId="657" xr:uid="{00000000-0005-0000-0000-000091020000}"/>
    <cellStyle name="Финансовый 2 3 2 2 7 4" xfId="658" xr:uid="{00000000-0005-0000-0000-000092020000}"/>
    <cellStyle name="Финансовый 2 3 2 2 8" xfId="659" xr:uid="{00000000-0005-0000-0000-000093020000}"/>
    <cellStyle name="Финансовый 2 3 2 2 8 2" xfId="660" xr:uid="{00000000-0005-0000-0000-000094020000}"/>
    <cellStyle name="Финансовый 2 3 2 2 8 2 2" xfId="661" xr:uid="{00000000-0005-0000-0000-000095020000}"/>
    <cellStyle name="Финансовый 2 3 2 2 8 2 3" xfId="662" xr:uid="{00000000-0005-0000-0000-000096020000}"/>
    <cellStyle name="Финансовый 2 3 2 2 8 3" xfId="663" xr:uid="{00000000-0005-0000-0000-000097020000}"/>
    <cellStyle name="Финансовый 2 3 2 2 8 4" xfId="664" xr:uid="{00000000-0005-0000-0000-000098020000}"/>
    <cellStyle name="Финансовый 2 3 2 2 9" xfId="665" xr:uid="{00000000-0005-0000-0000-000099020000}"/>
    <cellStyle name="Финансовый 2 3 2 2 9 2" xfId="666" xr:uid="{00000000-0005-0000-0000-00009A020000}"/>
    <cellStyle name="Финансовый 2 3 2 2 9 2 2" xfId="667" xr:uid="{00000000-0005-0000-0000-00009B020000}"/>
    <cellStyle name="Финансовый 2 3 2 2 9 2 3" xfId="668" xr:uid="{00000000-0005-0000-0000-00009C020000}"/>
    <cellStyle name="Финансовый 2 3 2 2 9 3" xfId="669" xr:uid="{00000000-0005-0000-0000-00009D020000}"/>
    <cellStyle name="Финансовый 2 3 2 2 9 4" xfId="670" xr:uid="{00000000-0005-0000-0000-00009E020000}"/>
    <cellStyle name="Финансовый 2 3 2 3" xfId="671" xr:uid="{00000000-0005-0000-0000-00009F020000}"/>
    <cellStyle name="Финансовый 2 3 2 3 10" xfId="672" xr:uid="{00000000-0005-0000-0000-0000A0020000}"/>
    <cellStyle name="Финансовый 2 3 2 3 11" xfId="673" xr:uid="{00000000-0005-0000-0000-0000A1020000}"/>
    <cellStyle name="Финансовый 2 3 2 3 12" xfId="674" xr:uid="{00000000-0005-0000-0000-0000A2020000}"/>
    <cellStyle name="Финансовый 2 3 2 3 13" xfId="675" xr:uid="{00000000-0005-0000-0000-0000A3020000}"/>
    <cellStyle name="Финансовый 2 3 2 3 2" xfId="676" xr:uid="{00000000-0005-0000-0000-0000A4020000}"/>
    <cellStyle name="Финансовый 2 3 2 3 2 2" xfId="677" xr:uid="{00000000-0005-0000-0000-0000A5020000}"/>
    <cellStyle name="Финансовый 2 3 2 3 2 2 2" xfId="678" xr:uid="{00000000-0005-0000-0000-0000A6020000}"/>
    <cellStyle name="Финансовый 2 3 2 3 2 2 2 2" xfId="679" xr:uid="{00000000-0005-0000-0000-0000A7020000}"/>
    <cellStyle name="Финансовый 2 3 2 3 2 2 2 2 2" xfId="680" xr:uid="{00000000-0005-0000-0000-0000A8020000}"/>
    <cellStyle name="Финансовый 2 3 2 3 2 2 2 2 3" xfId="681" xr:uid="{00000000-0005-0000-0000-0000A9020000}"/>
    <cellStyle name="Финансовый 2 3 2 3 2 2 2 3" xfId="682" xr:uid="{00000000-0005-0000-0000-0000AA020000}"/>
    <cellStyle name="Финансовый 2 3 2 3 2 2 2 4" xfId="683" xr:uid="{00000000-0005-0000-0000-0000AB020000}"/>
    <cellStyle name="Финансовый 2 3 2 3 2 2 3" xfId="684" xr:uid="{00000000-0005-0000-0000-0000AC020000}"/>
    <cellStyle name="Финансовый 2 3 2 3 2 2 3 2" xfId="685" xr:uid="{00000000-0005-0000-0000-0000AD020000}"/>
    <cellStyle name="Финансовый 2 3 2 3 2 2 3 3" xfId="686" xr:uid="{00000000-0005-0000-0000-0000AE020000}"/>
    <cellStyle name="Финансовый 2 3 2 3 2 2 4" xfId="687" xr:uid="{00000000-0005-0000-0000-0000AF020000}"/>
    <cellStyle name="Финансовый 2 3 2 3 2 2 5" xfId="688" xr:uid="{00000000-0005-0000-0000-0000B0020000}"/>
    <cellStyle name="Финансовый 2 3 2 3 2 3" xfId="689" xr:uid="{00000000-0005-0000-0000-0000B1020000}"/>
    <cellStyle name="Финансовый 2 3 2 3 2 3 2" xfId="690" xr:uid="{00000000-0005-0000-0000-0000B2020000}"/>
    <cellStyle name="Финансовый 2 3 2 3 2 3 2 2" xfId="691" xr:uid="{00000000-0005-0000-0000-0000B3020000}"/>
    <cellStyle name="Финансовый 2 3 2 3 2 3 2 2 2" xfId="692" xr:uid="{00000000-0005-0000-0000-0000B4020000}"/>
    <cellStyle name="Финансовый 2 3 2 3 2 3 2 2 3" xfId="693" xr:uid="{00000000-0005-0000-0000-0000B5020000}"/>
    <cellStyle name="Финансовый 2 3 2 3 2 3 2 3" xfId="694" xr:uid="{00000000-0005-0000-0000-0000B6020000}"/>
    <cellStyle name="Финансовый 2 3 2 3 2 3 2 4" xfId="695" xr:uid="{00000000-0005-0000-0000-0000B7020000}"/>
    <cellStyle name="Финансовый 2 3 2 3 2 3 3" xfId="696" xr:uid="{00000000-0005-0000-0000-0000B8020000}"/>
    <cellStyle name="Финансовый 2 3 2 3 2 3 3 2" xfId="697" xr:uid="{00000000-0005-0000-0000-0000B9020000}"/>
    <cellStyle name="Финансовый 2 3 2 3 2 3 3 3" xfId="698" xr:uid="{00000000-0005-0000-0000-0000BA020000}"/>
    <cellStyle name="Финансовый 2 3 2 3 2 3 4" xfId="699" xr:uid="{00000000-0005-0000-0000-0000BB020000}"/>
    <cellStyle name="Финансовый 2 3 2 3 2 3 5" xfId="700" xr:uid="{00000000-0005-0000-0000-0000BC020000}"/>
    <cellStyle name="Финансовый 2 3 2 3 2 4" xfId="701" xr:uid="{00000000-0005-0000-0000-0000BD020000}"/>
    <cellStyle name="Финансовый 2 3 2 3 2 4 2" xfId="702" xr:uid="{00000000-0005-0000-0000-0000BE020000}"/>
    <cellStyle name="Финансовый 2 3 2 3 2 4 2 2" xfId="703" xr:uid="{00000000-0005-0000-0000-0000BF020000}"/>
    <cellStyle name="Финансовый 2 3 2 3 2 4 2 3" xfId="704" xr:uid="{00000000-0005-0000-0000-0000C0020000}"/>
    <cellStyle name="Финансовый 2 3 2 3 2 4 3" xfId="705" xr:uid="{00000000-0005-0000-0000-0000C1020000}"/>
    <cellStyle name="Финансовый 2 3 2 3 2 4 4" xfId="706" xr:uid="{00000000-0005-0000-0000-0000C2020000}"/>
    <cellStyle name="Финансовый 2 3 2 3 2 5" xfId="707" xr:uid="{00000000-0005-0000-0000-0000C3020000}"/>
    <cellStyle name="Финансовый 2 3 2 3 2 5 2" xfId="708" xr:uid="{00000000-0005-0000-0000-0000C4020000}"/>
    <cellStyle name="Финансовый 2 3 2 3 2 5 3" xfId="709" xr:uid="{00000000-0005-0000-0000-0000C5020000}"/>
    <cellStyle name="Финансовый 2 3 2 3 2 6" xfId="710" xr:uid="{00000000-0005-0000-0000-0000C6020000}"/>
    <cellStyle name="Финансовый 2 3 2 3 2 7" xfId="711" xr:uid="{00000000-0005-0000-0000-0000C7020000}"/>
    <cellStyle name="Финансовый 2 3 2 3 2 8" xfId="712" xr:uid="{00000000-0005-0000-0000-0000C8020000}"/>
    <cellStyle name="Финансовый 2 3 2 3 3" xfId="713" xr:uid="{00000000-0005-0000-0000-0000C9020000}"/>
    <cellStyle name="Финансовый 2 3 2 3 3 2" xfId="714" xr:uid="{00000000-0005-0000-0000-0000CA020000}"/>
    <cellStyle name="Финансовый 2 3 2 3 3 2 2" xfId="715" xr:uid="{00000000-0005-0000-0000-0000CB020000}"/>
    <cellStyle name="Финансовый 2 3 2 3 3 2 2 2" xfId="716" xr:uid="{00000000-0005-0000-0000-0000CC020000}"/>
    <cellStyle name="Финансовый 2 3 2 3 3 2 2 3" xfId="717" xr:uid="{00000000-0005-0000-0000-0000CD020000}"/>
    <cellStyle name="Финансовый 2 3 2 3 3 2 3" xfId="718" xr:uid="{00000000-0005-0000-0000-0000CE020000}"/>
    <cellStyle name="Финансовый 2 3 2 3 3 2 4" xfId="719" xr:uid="{00000000-0005-0000-0000-0000CF020000}"/>
    <cellStyle name="Финансовый 2 3 2 3 3 3" xfId="720" xr:uid="{00000000-0005-0000-0000-0000D0020000}"/>
    <cellStyle name="Финансовый 2 3 2 3 3 3 2" xfId="721" xr:uid="{00000000-0005-0000-0000-0000D1020000}"/>
    <cellStyle name="Финансовый 2 3 2 3 3 3 3" xfId="722" xr:uid="{00000000-0005-0000-0000-0000D2020000}"/>
    <cellStyle name="Финансовый 2 3 2 3 3 4" xfId="723" xr:uid="{00000000-0005-0000-0000-0000D3020000}"/>
    <cellStyle name="Финансовый 2 3 2 3 3 5" xfId="724" xr:uid="{00000000-0005-0000-0000-0000D4020000}"/>
    <cellStyle name="Финансовый 2 3 2 3 4" xfId="725" xr:uid="{00000000-0005-0000-0000-0000D5020000}"/>
    <cellStyle name="Финансовый 2 3 2 3 4 2" xfId="726" xr:uid="{00000000-0005-0000-0000-0000D6020000}"/>
    <cellStyle name="Финансовый 2 3 2 3 4 2 2" xfId="727" xr:uid="{00000000-0005-0000-0000-0000D7020000}"/>
    <cellStyle name="Финансовый 2 3 2 3 4 2 2 2" xfId="728" xr:uid="{00000000-0005-0000-0000-0000D8020000}"/>
    <cellStyle name="Финансовый 2 3 2 3 4 2 2 3" xfId="729" xr:uid="{00000000-0005-0000-0000-0000D9020000}"/>
    <cellStyle name="Финансовый 2 3 2 3 4 2 3" xfId="730" xr:uid="{00000000-0005-0000-0000-0000DA020000}"/>
    <cellStyle name="Финансовый 2 3 2 3 4 2 4" xfId="731" xr:uid="{00000000-0005-0000-0000-0000DB020000}"/>
    <cellStyle name="Финансовый 2 3 2 3 4 3" xfId="732" xr:uid="{00000000-0005-0000-0000-0000DC020000}"/>
    <cellStyle name="Финансовый 2 3 2 3 4 3 2" xfId="733" xr:uid="{00000000-0005-0000-0000-0000DD020000}"/>
    <cellStyle name="Финансовый 2 3 2 3 4 3 3" xfId="734" xr:uid="{00000000-0005-0000-0000-0000DE020000}"/>
    <cellStyle name="Финансовый 2 3 2 3 4 4" xfId="735" xr:uid="{00000000-0005-0000-0000-0000DF020000}"/>
    <cellStyle name="Финансовый 2 3 2 3 4 5" xfId="736" xr:uid="{00000000-0005-0000-0000-0000E0020000}"/>
    <cellStyle name="Финансовый 2 3 2 3 5" xfId="737" xr:uid="{00000000-0005-0000-0000-0000E1020000}"/>
    <cellStyle name="Финансовый 2 3 2 3 5 2" xfId="738" xr:uid="{00000000-0005-0000-0000-0000E2020000}"/>
    <cellStyle name="Финансовый 2 3 2 3 5 2 2" xfId="739" xr:uid="{00000000-0005-0000-0000-0000E3020000}"/>
    <cellStyle name="Финансовый 2 3 2 3 5 2 3" xfId="740" xr:uid="{00000000-0005-0000-0000-0000E4020000}"/>
    <cellStyle name="Финансовый 2 3 2 3 5 3" xfId="741" xr:uid="{00000000-0005-0000-0000-0000E5020000}"/>
    <cellStyle name="Финансовый 2 3 2 3 5 4" xfId="742" xr:uid="{00000000-0005-0000-0000-0000E6020000}"/>
    <cellStyle name="Финансовый 2 3 2 3 6" xfId="743" xr:uid="{00000000-0005-0000-0000-0000E7020000}"/>
    <cellStyle name="Финансовый 2 3 2 3 6 2" xfId="744" xr:uid="{00000000-0005-0000-0000-0000E8020000}"/>
    <cellStyle name="Финансовый 2 3 2 3 6 2 2" xfId="745" xr:uid="{00000000-0005-0000-0000-0000E9020000}"/>
    <cellStyle name="Финансовый 2 3 2 3 6 2 3" xfId="746" xr:uid="{00000000-0005-0000-0000-0000EA020000}"/>
    <cellStyle name="Финансовый 2 3 2 3 6 3" xfId="747" xr:uid="{00000000-0005-0000-0000-0000EB020000}"/>
    <cellStyle name="Финансовый 2 3 2 3 6 4" xfId="748" xr:uid="{00000000-0005-0000-0000-0000EC020000}"/>
    <cellStyle name="Финансовый 2 3 2 3 7" xfId="749" xr:uid="{00000000-0005-0000-0000-0000ED020000}"/>
    <cellStyle name="Финансовый 2 3 2 3 7 2" xfId="750" xr:uid="{00000000-0005-0000-0000-0000EE020000}"/>
    <cellStyle name="Финансовый 2 3 2 3 7 2 2" xfId="751" xr:uid="{00000000-0005-0000-0000-0000EF020000}"/>
    <cellStyle name="Финансовый 2 3 2 3 7 2 3" xfId="752" xr:uid="{00000000-0005-0000-0000-0000F0020000}"/>
    <cellStyle name="Финансовый 2 3 2 3 7 3" xfId="753" xr:uid="{00000000-0005-0000-0000-0000F1020000}"/>
    <cellStyle name="Финансовый 2 3 2 3 7 4" xfId="754" xr:uid="{00000000-0005-0000-0000-0000F2020000}"/>
    <cellStyle name="Финансовый 2 3 2 3 8" xfId="755" xr:uid="{00000000-0005-0000-0000-0000F3020000}"/>
    <cellStyle name="Финансовый 2 3 2 3 8 2" xfId="756" xr:uid="{00000000-0005-0000-0000-0000F4020000}"/>
    <cellStyle name="Финансовый 2 3 2 3 8 2 2" xfId="757" xr:uid="{00000000-0005-0000-0000-0000F5020000}"/>
    <cellStyle name="Финансовый 2 3 2 3 8 2 3" xfId="758" xr:uid="{00000000-0005-0000-0000-0000F6020000}"/>
    <cellStyle name="Финансовый 2 3 2 3 8 3" xfId="759" xr:uid="{00000000-0005-0000-0000-0000F7020000}"/>
    <cellStyle name="Финансовый 2 3 2 3 8 4" xfId="760" xr:uid="{00000000-0005-0000-0000-0000F8020000}"/>
    <cellStyle name="Финансовый 2 3 2 3 9" xfId="761" xr:uid="{00000000-0005-0000-0000-0000F9020000}"/>
    <cellStyle name="Финансовый 2 3 2 3 9 2" xfId="762" xr:uid="{00000000-0005-0000-0000-0000FA020000}"/>
    <cellStyle name="Финансовый 2 3 2 3 9 3" xfId="763" xr:uid="{00000000-0005-0000-0000-0000FB020000}"/>
    <cellStyle name="Финансовый 2 3 2 4" xfId="764" xr:uid="{00000000-0005-0000-0000-0000FC020000}"/>
    <cellStyle name="Финансовый 2 3 2 4 10" xfId="765" xr:uid="{00000000-0005-0000-0000-0000FD020000}"/>
    <cellStyle name="Финансовый 2 3 2 4 11" xfId="766" xr:uid="{00000000-0005-0000-0000-0000FE020000}"/>
    <cellStyle name="Финансовый 2 3 2 4 12" xfId="767" xr:uid="{00000000-0005-0000-0000-0000FF020000}"/>
    <cellStyle name="Финансовый 2 3 2 4 13" xfId="768" xr:uid="{00000000-0005-0000-0000-000000030000}"/>
    <cellStyle name="Финансовый 2 3 2 4 2" xfId="769" xr:uid="{00000000-0005-0000-0000-000001030000}"/>
    <cellStyle name="Финансовый 2 3 2 4 2 2" xfId="770" xr:uid="{00000000-0005-0000-0000-000002030000}"/>
    <cellStyle name="Финансовый 2 3 2 4 2 2 2" xfId="771" xr:uid="{00000000-0005-0000-0000-000003030000}"/>
    <cellStyle name="Финансовый 2 3 2 4 2 2 2 2" xfId="772" xr:uid="{00000000-0005-0000-0000-000004030000}"/>
    <cellStyle name="Финансовый 2 3 2 4 2 2 2 2 2" xfId="773" xr:uid="{00000000-0005-0000-0000-000005030000}"/>
    <cellStyle name="Финансовый 2 3 2 4 2 2 2 2 3" xfId="774" xr:uid="{00000000-0005-0000-0000-000006030000}"/>
    <cellStyle name="Финансовый 2 3 2 4 2 2 2 3" xfId="775" xr:uid="{00000000-0005-0000-0000-000007030000}"/>
    <cellStyle name="Финансовый 2 3 2 4 2 2 2 4" xfId="776" xr:uid="{00000000-0005-0000-0000-000008030000}"/>
    <cellStyle name="Финансовый 2 3 2 4 2 2 3" xfId="777" xr:uid="{00000000-0005-0000-0000-000009030000}"/>
    <cellStyle name="Финансовый 2 3 2 4 2 2 3 2" xfId="778" xr:uid="{00000000-0005-0000-0000-00000A030000}"/>
    <cellStyle name="Финансовый 2 3 2 4 2 2 3 3" xfId="779" xr:uid="{00000000-0005-0000-0000-00000B030000}"/>
    <cellStyle name="Финансовый 2 3 2 4 2 2 4" xfId="780" xr:uid="{00000000-0005-0000-0000-00000C030000}"/>
    <cellStyle name="Финансовый 2 3 2 4 2 2 5" xfId="781" xr:uid="{00000000-0005-0000-0000-00000D030000}"/>
    <cellStyle name="Финансовый 2 3 2 4 2 3" xfId="782" xr:uid="{00000000-0005-0000-0000-00000E030000}"/>
    <cellStyle name="Финансовый 2 3 2 4 2 3 2" xfId="783" xr:uid="{00000000-0005-0000-0000-00000F030000}"/>
    <cellStyle name="Финансовый 2 3 2 4 2 3 2 2" xfId="784" xr:uid="{00000000-0005-0000-0000-000010030000}"/>
    <cellStyle name="Финансовый 2 3 2 4 2 3 2 2 2" xfId="785" xr:uid="{00000000-0005-0000-0000-000011030000}"/>
    <cellStyle name="Финансовый 2 3 2 4 2 3 2 2 3" xfId="786" xr:uid="{00000000-0005-0000-0000-000012030000}"/>
    <cellStyle name="Финансовый 2 3 2 4 2 3 2 3" xfId="787" xr:uid="{00000000-0005-0000-0000-000013030000}"/>
    <cellStyle name="Финансовый 2 3 2 4 2 3 2 4" xfId="788" xr:uid="{00000000-0005-0000-0000-000014030000}"/>
    <cellStyle name="Финансовый 2 3 2 4 2 3 3" xfId="789" xr:uid="{00000000-0005-0000-0000-000015030000}"/>
    <cellStyle name="Финансовый 2 3 2 4 2 3 3 2" xfId="790" xr:uid="{00000000-0005-0000-0000-000016030000}"/>
    <cellStyle name="Финансовый 2 3 2 4 2 3 3 3" xfId="791" xr:uid="{00000000-0005-0000-0000-000017030000}"/>
    <cellStyle name="Финансовый 2 3 2 4 2 3 4" xfId="792" xr:uid="{00000000-0005-0000-0000-000018030000}"/>
    <cellStyle name="Финансовый 2 3 2 4 2 3 5" xfId="793" xr:uid="{00000000-0005-0000-0000-000019030000}"/>
    <cellStyle name="Финансовый 2 3 2 4 2 4" xfId="794" xr:uid="{00000000-0005-0000-0000-00001A030000}"/>
    <cellStyle name="Финансовый 2 3 2 4 2 4 2" xfId="795" xr:uid="{00000000-0005-0000-0000-00001B030000}"/>
    <cellStyle name="Финансовый 2 3 2 4 2 4 2 2" xfId="796" xr:uid="{00000000-0005-0000-0000-00001C030000}"/>
    <cellStyle name="Финансовый 2 3 2 4 2 4 2 3" xfId="797" xr:uid="{00000000-0005-0000-0000-00001D030000}"/>
    <cellStyle name="Финансовый 2 3 2 4 2 4 3" xfId="798" xr:uid="{00000000-0005-0000-0000-00001E030000}"/>
    <cellStyle name="Финансовый 2 3 2 4 2 4 4" xfId="799" xr:uid="{00000000-0005-0000-0000-00001F030000}"/>
    <cellStyle name="Финансовый 2 3 2 4 2 5" xfId="800" xr:uid="{00000000-0005-0000-0000-000020030000}"/>
    <cellStyle name="Финансовый 2 3 2 4 2 5 2" xfId="801" xr:uid="{00000000-0005-0000-0000-000021030000}"/>
    <cellStyle name="Финансовый 2 3 2 4 2 5 3" xfId="802" xr:uid="{00000000-0005-0000-0000-000022030000}"/>
    <cellStyle name="Финансовый 2 3 2 4 2 6" xfId="803" xr:uid="{00000000-0005-0000-0000-000023030000}"/>
    <cellStyle name="Финансовый 2 3 2 4 2 7" xfId="804" xr:uid="{00000000-0005-0000-0000-000024030000}"/>
    <cellStyle name="Финансовый 2 3 2 4 2 8" xfId="805" xr:uid="{00000000-0005-0000-0000-000025030000}"/>
    <cellStyle name="Финансовый 2 3 2 4 3" xfId="806" xr:uid="{00000000-0005-0000-0000-000026030000}"/>
    <cellStyle name="Финансовый 2 3 2 4 3 2" xfId="807" xr:uid="{00000000-0005-0000-0000-000027030000}"/>
    <cellStyle name="Финансовый 2 3 2 4 3 2 2" xfId="808" xr:uid="{00000000-0005-0000-0000-000028030000}"/>
    <cellStyle name="Финансовый 2 3 2 4 3 2 2 2" xfId="809" xr:uid="{00000000-0005-0000-0000-000029030000}"/>
    <cellStyle name="Финансовый 2 3 2 4 3 2 2 3" xfId="810" xr:uid="{00000000-0005-0000-0000-00002A030000}"/>
    <cellStyle name="Финансовый 2 3 2 4 3 2 3" xfId="811" xr:uid="{00000000-0005-0000-0000-00002B030000}"/>
    <cellStyle name="Финансовый 2 3 2 4 3 2 4" xfId="812" xr:uid="{00000000-0005-0000-0000-00002C030000}"/>
    <cellStyle name="Финансовый 2 3 2 4 3 3" xfId="813" xr:uid="{00000000-0005-0000-0000-00002D030000}"/>
    <cellStyle name="Финансовый 2 3 2 4 3 3 2" xfId="814" xr:uid="{00000000-0005-0000-0000-00002E030000}"/>
    <cellStyle name="Финансовый 2 3 2 4 3 3 3" xfId="815" xr:uid="{00000000-0005-0000-0000-00002F030000}"/>
    <cellStyle name="Финансовый 2 3 2 4 3 4" xfId="816" xr:uid="{00000000-0005-0000-0000-000030030000}"/>
    <cellStyle name="Финансовый 2 3 2 4 3 5" xfId="817" xr:uid="{00000000-0005-0000-0000-000031030000}"/>
    <cellStyle name="Финансовый 2 3 2 4 4" xfId="818" xr:uid="{00000000-0005-0000-0000-000032030000}"/>
    <cellStyle name="Финансовый 2 3 2 4 4 2" xfId="819" xr:uid="{00000000-0005-0000-0000-000033030000}"/>
    <cellStyle name="Финансовый 2 3 2 4 4 2 2" xfId="820" xr:uid="{00000000-0005-0000-0000-000034030000}"/>
    <cellStyle name="Финансовый 2 3 2 4 4 2 2 2" xfId="821" xr:uid="{00000000-0005-0000-0000-000035030000}"/>
    <cellStyle name="Финансовый 2 3 2 4 4 2 2 3" xfId="822" xr:uid="{00000000-0005-0000-0000-000036030000}"/>
    <cellStyle name="Финансовый 2 3 2 4 4 2 3" xfId="823" xr:uid="{00000000-0005-0000-0000-000037030000}"/>
    <cellStyle name="Финансовый 2 3 2 4 4 2 4" xfId="824" xr:uid="{00000000-0005-0000-0000-000038030000}"/>
    <cellStyle name="Финансовый 2 3 2 4 4 3" xfId="825" xr:uid="{00000000-0005-0000-0000-000039030000}"/>
    <cellStyle name="Финансовый 2 3 2 4 4 3 2" xfId="826" xr:uid="{00000000-0005-0000-0000-00003A030000}"/>
    <cellStyle name="Финансовый 2 3 2 4 4 3 3" xfId="827" xr:uid="{00000000-0005-0000-0000-00003B030000}"/>
    <cellStyle name="Финансовый 2 3 2 4 4 4" xfId="828" xr:uid="{00000000-0005-0000-0000-00003C030000}"/>
    <cellStyle name="Финансовый 2 3 2 4 4 5" xfId="829" xr:uid="{00000000-0005-0000-0000-00003D030000}"/>
    <cellStyle name="Финансовый 2 3 2 4 5" xfId="830" xr:uid="{00000000-0005-0000-0000-00003E030000}"/>
    <cellStyle name="Финансовый 2 3 2 4 5 2" xfId="831" xr:uid="{00000000-0005-0000-0000-00003F030000}"/>
    <cellStyle name="Финансовый 2 3 2 4 5 2 2" xfId="832" xr:uid="{00000000-0005-0000-0000-000040030000}"/>
    <cellStyle name="Финансовый 2 3 2 4 5 2 3" xfId="833" xr:uid="{00000000-0005-0000-0000-000041030000}"/>
    <cellStyle name="Финансовый 2 3 2 4 5 3" xfId="834" xr:uid="{00000000-0005-0000-0000-000042030000}"/>
    <cellStyle name="Финансовый 2 3 2 4 5 4" xfId="835" xr:uid="{00000000-0005-0000-0000-000043030000}"/>
    <cellStyle name="Финансовый 2 3 2 4 6" xfId="836" xr:uid="{00000000-0005-0000-0000-000044030000}"/>
    <cellStyle name="Финансовый 2 3 2 4 6 2" xfId="837" xr:uid="{00000000-0005-0000-0000-000045030000}"/>
    <cellStyle name="Финансовый 2 3 2 4 6 2 2" xfId="838" xr:uid="{00000000-0005-0000-0000-000046030000}"/>
    <cellStyle name="Финансовый 2 3 2 4 6 2 3" xfId="839" xr:uid="{00000000-0005-0000-0000-000047030000}"/>
    <cellStyle name="Финансовый 2 3 2 4 6 3" xfId="840" xr:uid="{00000000-0005-0000-0000-000048030000}"/>
    <cellStyle name="Финансовый 2 3 2 4 6 4" xfId="841" xr:uid="{00000000-0005-0000-0000-000049030000}"/>
    <cellStyle name="Финансовый 2 3 2 4 7" xfId="842" xr:uid="{00000000-0005-0000-0000-00004A030000}"/>
    <cellStyle name="Финансовый 2 3 2 4 7 2" xfId="843" xr:uid="{00000000-0005-0000-0000-00004B030000}"/>
    <cellStyle name="Финансовый 2 3 2 4 7 2 2" xfId="844" xr:uid="{00000000-0005-0000-0000-00004C030000}"/>
    <cellStyle name="Финансовый 2 3 2 4 7 2 3" xfId="845" xr:uid="{00000000-0005-0000-0000-00004D030000}"/>
    <cellStyle name="Финансовый 2 3 2 4 7 3" xfId="846" xr:uid="{00000000-0005-0000-0000-00004E030000}"/>
    <cellStyle name="Финансовый 2 3 2 4 7 4" xfId="847" xr:uid="{00000000-0005-0000-0000-00004F030000}"/>
    <cellStyle name="Финансовый 2 3 2 4 8" xfId="848" xr:uid="{00000000-0005-0000-0000-000050030000}"/>
    <cellStyle name="Финансовый 2 3 2 4 8 2" xfId="849" xr:uid="{00000000-0005-0000-0000-000051030000}"/>
    <cellStyle name="Финансовый 2 3 2 4 8 2 2" xfId="850" xr:uid="{00000000-0005-0000-0000-000052030000}"/>
    <cellStyle name="Финансовый 2 3 2 4 8 2 3" xfId="851" xr:uid="{00000000-0005-0000-0000-000053030000}"/>
    <cellStyle name="Финансовый 2 3 2 4 8 3" xfId="852" xr:uid="{00000000-0005-0000-0000-000054030000}"/>
    <cellStyle name="Финансовый 2 3 2 4 8 4" xfId="853" xr:uid="{00000000-0005-0000-0000-000055030000}"/>
    <cellStyle name="Финансовый 2 3 2 4 9" xfId="854" xr:uid="{00000000-0005-0000-0000-000056030000}"/>
    <cellStyle name="Финансовый 2 3 2 4 9 2" xfId="855" xr:uid="{00000000-0005-0000-0000-000057030000}"/>
    <cellStyle name="Финансовый 2 3 2 4 9 3" xfId="856" xr:uid="{00000000-0005-0000-0000-000058030000}"/>
    <cellStyle name="Финансовый 2 3 2 5" xfId="857" xr:uid="{00000000-0005-0000-0000-000059030000}"/>
    <cellStyle name="Финансовый 2 3 2 5 2" xfId="858" xr:uid="{00000000-0005-0000-0000-00005A030000}"/>
    <cellStyle name="Финансовый 2 3 2 5 2 2" xfId="859" xr:uid="{00000000-0005-0000-0000-00005B030000}"/>
    <cellStyle name="Финансовый 2 3 2 5 2 2 2" xfId="860" xr:uid="{00000000-0005-0000-0000-00005C030000}"/>
    <cellStyle name="Финансовый 2 3 2 5 2 2 2 2" xfId="861" xr:uid="{00000000-0005-0000-0000-00005D030000}"/>
    <cellStyle name="Финансовый 2 3 2 5 2 2 2 3" xfId="862" xr:uid="{00000000-0005-0000-0000-00005E030000}"/>
    <cellStyle name="Финансовый 2 3 2 5 2 2 3" xfId="863" xr:uid="{00000000-0005-0000-0000-00005F030000}"/>
    <cellStyle name="Финансовый 2 3 2 5 2 2 4" xfId="864" xr:uid="{00000000-0005-0000-0000-000060030000}"/>
    <cellStyle name="Финансовый 2 3 2 5 2 3" xfId="865" xr:uid="{00000000-0005-0000-0000-000061030000}"/>
    <cellStyle name="Финансовый 2 3 2 5 2 3 2" xfId="866" xr:uid="{00000000-0005-0000-0000-000062030000}"/>
    <cellStyle name="Финансовый 2 3 2 5 2 3 3" xfId="867" xr:uid="{00000000-0005-0000-0000-000063030000}"/>
    <cellStyle name="Финансовый 2 3 2 5 2 4" xfId="868" xr:uid="{00000000-0005-0000-0000-000064030000}"/>
    <cellStyle name="Финансовый 2 3 2 5 2 5" xfId="869" xr:uid="{00000000-0005-0000-0000-000065030000}"/>
    <cellStyle name="Финансовый 2 3 2 5 3" xfId="870" xr:uid="{00000000-0005-0000-0000-000066030000}"/>
    <cellStyle name="Финансовый 2 3 2 5 3 2" xfId="871" xr:uid="{00000000-0005-0000-0000-000067030000}"/>
    <cellStyle name="Финансовый 2 3 2 5 3 2 2" xfId="872" xr:uid="{00000000-0005-0000-0000-000068030000}"/>
    <cellStyle name="Финансовый 2 3 2 5 3 2 2 2" xfId="873" xr:uid="{00000000-0005-0000-0000-000069030000}"/>
    <cellStyle name="Финансовый 2 3 2 5 3 2 2 3" xfId="874" xr:uid="{00000000-0005-0000-0000-00006A030000}"/>
    <cellStyle name="Финансовый 2 3 2 5 3 2 3" xfId="875" xr:uid="{00000000-0005-0000-0000-00006B030000}"/>
    <cellStyle name="Финансовый 2 3 2 5 3 2 4" xfId="876" xr:uid="{00000000-0005-0000-0000-00006C030000}"/>
    <cellStyle name="Финансовый 2 3 2 5 3 3" xfId="877" xr:uid="{00000000-0005-0000-0000-00006D030000}"/>
    <cellStyle name="Финансовый 2 3 2 5 3 3 2" xfId="878" xr:uid="{00000000-0005-0000-0000-00006E030000}"/>
    <cellStyle name="Финансовый 2 3 2 5 3 3 3" xfId="879" xr:uid="{00000000-0005-0000-0000-00006F030000}"/>
    <cellStyle name="Финансовый 2 3 2 5 3 4" xfId="880" xr:uid="{00000000-0005-0000-0000-000070030000}"/>
    <cellStyle name="Финансовый 2 3 2 5 3 5" xfId="881" xr:uid="{00000000-0005-0000-0000-000071030000}"/>
    <cellStyle name="Финансовый 2 3 2 5 4" xfId="882" xr:uid="{00000000-0005-0000-0000-000072030000}"/>
    <cellStyle name="Финансовый 2 3 2 5 4 2" xfId="883" xr:uid="{00000000-0005-0000-0000-000073030000}"/>
    <cellStyle name="Финансовый 2 3 2 5 4 2 2" xfId="884" xr:uid="{00000000-0005-0000-0000-000074030000}"/>
    <cellStyle name="Финансовый 2 3 2 5 4 2 3" xfId="885" xr:uid="{00000000-0005-0000-0000-000075030000}"/>
    <cellStyle name="Финансовый 2 3 2 5 4 3" xfId="886" xr:uid="{00000000-0005-0000-0000-000076030000}"/>
    <cellStyle name="Финансовый 2 3 2 5 4 4" xfId="887" xr:uid="{00000000-0005-0000-0000-000077030000}"/>
    <cellStyle name="Финансовый 2 3 2 5 5" xfId="888" xr:uid="{00000000-0005-0000-0000-000078030000}"/>
    <cellStyle name="Финансовый 2 3 2 5 5 2" xfId="889" xr:uid="{00000000-0005-0000-0000-000079030000}"/>
    <cellStyle name="Финансовый 2 3 2 5 5 3" xfId="890" xr:uid="{00000000-0005-0000-0000-00007A030000}"/>
    <cellStyle name="Финансовый 2 3 2 5 6" xfId="891" xr:uid="{00000000-0005-0000-0000-00007B030000}"/>
    <cellStyle name="Финансовый 2 3 2 5 7" xfId="892" xr:uid="{00000000-0005-0000-0000-00007C030000}"/>
    <cellStyle name="Финансовый 2 3 2 5 8" xfId="893" xr:uid="{00000000-0005-0000-0000-00007D030000}"/>
    <cellStyle name="Финансовый 2 3 2 6" xfId="894" xr:uid="{00000000-0005-0000-0000-00007E030000}"/>
    <cellStyle name="Финансовый 2 3 2 6 2" xfId="895" xr:uid="{00000000-0005-0000-0000-00007F030000}"/>
    <cellStyle name="Финансовый 2 3 2 6 2 2" xfId="896" xr:uid="{00000000-0005-0000-0000-000080030000}"/>
    <cellStyle name="Финансовый 2 3 2 6 2 2 2" xfId="897" xr:uid="{00000000-0005-0000-0000-000081030000}"/>
    <cellStyle name="Финансовый 2 3 2 6 2 2 3" xfId="898" xr:uid="{00000000-0005-0000-0000-000082030000}"/>
    <cellStyle name="Финансовый 2 3 2 6 2 3" xfId="899" xr:uid="{00000000-0005-0000-0000-000083030000}"/>
    <cellStyle name="Финансовый 2 3 2 6 2 4" xfId="900" xr:uid="{00000000-0005-0000-0000-000084030000}"/>
    <cellStyle name="Финансовый 2 3 2 6 3" xfId="901" xr:uid="{00000000-0005-0000-0000-000085030000}"/>
    <cellStyle name="Финансовый 2 3 2 6 3 2" xfId="902" xr:uid="{00000000-0005-0000-0000-000086030000}"/>
    <cellStyle name="Финансовый 2 3 2 6 3 3" xfId="903" xr:uid="{00000000-0005-0000-0000-000087030000}"/>
    <cellStyle name="Финансовый 2 3 2 6 4" xfId="904" xr:uid="{00000000-0005-0000-0000-000088030000}"/>
    <cellStyle name="Финансовый 2 3 2 6 5" xfId="905" xr:uid="{00000000-0005-0000-0000-000089030000}"/>
    <cellStyle name="Финансовый 2 3 2 7" xfId="906" xr:uid="{00000000-0005-0000-0000-00008A030000}"/>
    <cellStyle name="Финансовый 2 3 2 7 2" xfId="907" xr:uid="{00000000-0005-0000-0000-00008B030000}"/>
    <cellStyle name="Финансовый 2 3 2 7 2 2" xfId="908" xr:uid="{00000000-0005-0000-0000-00008C030000}"/>
    <cellStyle name="Финансовый 2 3 2 7 2 2 2" xfId="909" xr:uid="{00000000-0005-0000-0000-00008D030000}"/>
    <cellStyle name="Финансовый 2 3 2 7 2 2 3" xfId="910" xr:uid="{00000000-0005-0000-0000-00008E030000}"/>
    <cellStyle name="Финансовый 2 3 2 7 2 3" xfId="911" xr:uid="{00000000-0005-0000-0000-00008F030000}"/>
    <cellStyle name="Финансовый 2 3 2 7 2 4" xfId="912" xr:uid="{00000000-0005-0000-0000-000090030000}"/>
    <cellStyle name="Финансовый 2 3 2 7 3" xfId="913" xr:uid="{00000000-0005-0000-0000-000091030000}"/>
    <cellStyle name="Финансовый 2 3 2 7 3 2" xfId="914" xr:uid="{00000000-0005-0000-0000-000092030000}"/>
    <cellStyle name="Финансовый 2 3 2 7 3 3" xfId="915" xr:uid="{00000000-0005-0000-0000-000093030000}"/>
    <cellStyle name="Финансовый 2 3 2 7 4" xfId="916" xr:uid="{00000000-0005-0000-0000-000094030000}"/>
    <cellStyle name="Финансовый 2 3 2 7 5" xfId="917" xr:uid="{00000000-0005-0000-0000-000095030000}"/>
    <cellStyle name="Финансовый 2 3 2 8" xfId="918" xr:uid="{00000000-0005-0000-0000-000096030000}"/>
    <cellStyle name="Финансовый 2 3 2 8 2" xfId="919" xr:uid="{00000000-0005-0000-0000-000097030000}"/>
    <cellStyle name="Финансовый 2 3 2 8 2 2" xfId="920" xr:uid="{00000000-0005-0000-0000-000098030000}"/>
    <cellStyle name="Финансовый 2 3 2 8 2 3" xfId="921" xr:uid="{00000000-0005-0000-0000-000099030000}"/>
    <cellStyle name="Финансовый 2 3 2 8 3" xfId="922" xr:uid="{00000000-0005-0000-0000-00009A030000}"/>
    <cellStyle name="Финансовый 2 3 2 8 4" xfId="923" xr:uid="{00000000-0005-0000-0000-00009B030000}"/>
    <cellStyle name="Финансовый 2 3 2 9" xfId="924" xr:uid="{00000000-0005-0000-0000-00009C030000}"/>
    <cellStyle name="Финансовый 2 3 2 9 2" xfId="925" xr:uid="{00000000-0005-0000-0000-00009D030000}"/>
    <cellStyle name="Финансовый 2 3 2 9 2 2" xfId="926" xr:uid="{00000000-0005-0000-0000-00009E030000}"/>
    <cellStyle name="Финансовый 2 3 2 9 2 3" xfId="927" xr:uid="{00000000-0005-0000-0000-00009F030000}"/>
    <cellStyle name="Финансовый 2 3 2 9 3" xfId="928" xr:uid="{00000000-0005-0000-0000-0000A0030000}"/>
    <cellStyle name="Финансовый 2 3 2 9 4" xfId="929" xr:uid="{00000000-0005-0000-0000-0000A1030000}"/>
    <cellStyle name="Финансовый 2 3 3" xfId="930" xr:uid="{00000000-0005-0000-0000-0000A2030000}"/>
    <cellStyle name="Финансовый 2 3 3 10" xfId="931" xr:uid="{00000000-0005-0000-0000-0000A3030000}"/>
    <cellStyle name="Финансовый 2 3 3 10 2" xfId="932" xr:uid="{00000000-0005-0000-0000-0000A4030000}"/>
    <cellStyle name="Финансовый 2 3 3 10 3" xfId="933" xr:uid="{00000000-0005-0000-0000-0000A5030000}"/>
    <cellStyle name="Финансовый 2 3 3 11" xfId="934" xr:uid="{00000000-0005-0000-0000-0000A6030000}"/>
    <cellStyle name="Финансовый 2 3 3 12" xfId="935" xr:uid="{00000000-0005-0000-0000-0000A7030000}"/>
    <cellStyle name="Финансовый 2 3 3 13" xfId="936" xr:uid="{00000000-0005-0000-0000-0000A8030000}"/>
    <cellStyle name="Финансовый 2 3 3 14" xfId="937" xr:uid="{00000000-0005-0000-0000-0000A9030000}"/>
    <cellStyle name="Финансовый 2 3 3 2" xfId="938" xr:uid="{00000000-0005-0000-0000-0000AA030000}"/>
    <cellStyle name="Финансовый 2 3 3 2 10" xfId="939" xr:uid="{00000000-0005-0000-0000-0000AB030000}"/>
    <cellStyle name="Финансовый 2 3 3 2 11" xfId="940" xr:uid="{00000000-0005-0000-0000-0000AC030000}"/>
    <cellStyle name="Финансовый 2 3 3 2 12" xfId="941" xr:uid="{00000000-0005-0000-0000-0000AD030000}"/>
    <cellStyle name="Финансовый 2 3 3 2 13" xfId="942" xr:uid="{00000000-0005-0000-0000-0000AE030000}"/>
    <cellStyle name="Финансовый 2 3 3 2 2" xfId="943" xr:uid="{00000000-0005-0000-0000-0000AF030000}"/>
    <cellStyle name="Финансовый 2 3 3 2 2 2" xfId="944" xr:uid="{00000000-0005-0000-0000-0000B0030000}"/>
    <cellStyle name="Финансовый 2 3 3 2 2 2 2" xfId="945" xr:uid="{00000000-0005-0000-0000-0000B1030000}"/>
    <cellStyle name="Финансовый 2 3 3 2 2 2 2 2" xfId="946" xr:uid="{00000000-0005-0000-0000-0000B2030000}"/>
    <cellStyle name="Финансовый 2 3 3 2 2 2 2 2 2" xfId="947" xr:uid="{00000000-0005-0000-0000-0000B3030000}"/>
    <cellStyle name="Финансовый 2 3 3 2 2 2 2 2 3" xfId="948" xr:uid="{00000000-0005-0000-0000-0000B4030000}"/>
    <cellStyle name="Финансовый 2 3 3 2 2 2 2 3" xfId="949" xr:uid="{00000000-0005-0000-0000-0000B5030000}"/>
    <cellStyle name="Финансовый 2 3 3 2 2 2 2 4" xfId="950" xr:uid="{00000000-0005-0000-0000-0000B6030000}"/>
    <cellStyle name="Финансовый 2 3 3 2 2 2 3" xfId="951" xr:uid="{00000000-0005-0000-0000-0000B7030000}"/>
    <cellStyle name="Финансовый 2 3 3 2 2 2 3 2" xfId="952" xr:uid="{00000000-0005-0000-0000-0000B8030000}"/>
    <cellStyle name="Финансовый 2 3 3 2 2 2 3 3" xfId="953" xr:uid="{00000000-0005-0000-0000-0000B9030000}"/>
    <cellStyle name="Финансовый 2 3 3 2 2 2 4" xfId="954" xr:uid="{00000000-0005-0000-0000-0000BA030000}"/>
    <cellStyle name="Финансовый 2 3 3 2 2 2 5" xfId="955" xr:uid="{00000000-0005-0000-0000-0000BB030000}"/>
    <cellStyle name="Финансовый 2 3 3 2 2 3" xfId="956" xr:uid="{00000000-0005-0000-0000-0000BC030000}"/>
    <cellStyle name="Финансовый 2 3 3 2 2 3 2" xfId="957" xr:uid="{00000000-0005-0000-0000-0000BD030000}"/>
    <cellStyle name="Финансовый 2 3 3 2 2 3 2 2" xfId="958" xr:uid="{00000000-0005-0000-0000-0000BE030000}"/>
    <cellStyle name="Финансовый 2 3 3 2 2 3 2 2 2" xfId="959" xr:uid="{00000000-0005-0000-0000-0000BF030000}"/>
    <cellStyle name="Финансовый 2 3 3 2 2 3 2 2 3" xfId="960" xr:uid="{00000000-0005-0000-0000-0000C0030000}"/>
    <cellStyle name="Финансовый 2 3 3 2 2 3 2 3" xfId="961" xr:uid="{00000000-0005-0000-0000-0000C1030000}"/>
    <cellStyle name="Финансовый 2 3 3 2 2 3 2 4" xfId="962" xr:uid="{00000000-0005-0000-0000-0000C2030000}"/>
    <cellStyle name="Финансовый 2 3 3 2 2 3 3" xfId="963" xr:uid="{00000000-0005-0000-0000-0000C3030000}"/>
    <cellStyle name="Финансовый 2 3 3 2 2 3 3 2" xfId="964" xr:uid="{00000000-0005-0000-0000-0000C4030000}"/>
    <cellStyle name="Финансовый 2 3 3 2 2 3 3 3" xfId="965" xr:uid="{00000000-0005-0000-0000-0000C5030000}"/>
    <cellStyle name="Финансовый 2 3 3 2 2 3 4" xfId="966" xr:uid="{00000000-0005-0000-0000-0000C6030000}"/>
    <cellStyle name="Финансовый 2 3 3 2 2 3 5" xfId="967" xr:uid="{00000000-0005-0000-0000-0000C7030000}"/>
    <cellStyle name="Финансовый 2 3 3 2 2 4" xfId="968" xr:uid="{00000000-0005-0000-0000-0000C8030000}"/>
    <cellStyle name="Финансовый 2 3 3 2 2 4 2" xfId="969" xr:uid="{00000000-0005-0000-0000-0000C9030000}"/>
    <cellStyle name="Финансовый 2 3 3 2 2 4 2 2" xfId="970" xr:uid="{00000000-0005-0000-0000-0000CA030000}"/>
    <cellStyle name="Финансовый 2 3 3 2 2 4 2 3" xfId="971" xr:uid="{00000000-0005-0000-0000-0000CB030000}"/>
    <cellStyle name="Финансовый 2 3 3 2 2 4 3" xfId="972" xr:uid="{00000000-0005-0000-0000-0000CC030000}"/>
    <cellStyle name="Финансовый 2 3 3 2 2 4 4" xfId="973" xr:uid="{00000000-0005-0000-0000-0000CD030000}"/>
    <cellStyle name="Финансовый 2 3 3 2 2 5" xfId="974" xr:uid="{00000000-0005-0000-0000-0000CE030000}"/>
    <cellStyle name="Финансовый 2 3 3 2 2 5 2" xfId="975" xr:uid="{00000000-0005-0000-0000-0000CF030000}"/>
    <cellStyle name="Финансовый 2 3 3 2 2 5 3" xfId="976" xr:uid="{00000000-0005-0000-0000-0000D0030000}"/>
    <cellStyle name="Финансовый 2 3 3 2 2 6" xfId="977" xr:uid="{00000000-0005-0000-0000-0000D1030000}"/>
    <cellStyle name="Финансовый 2 3 3 2 2 7" xfId="978" xr:uid="{00000000-0005-0000-0000-0000D2030000}"/>
    <cellStyle name="Финансовый 2 3 3 2 2 8" xfId="979" xr:uid="{00000000-0005-0000-0000-0000D3030000}"/>
    <cellStyle name="Финансовый 2 3 3 2 3" xfId="980" xr:uid="{00000000-0005-0000-0000-0000D4030000}"/>
    <cellStyle name="Финансовый 2 3 3 2 3 2" xfId="981" xr:uid="{00000000-0005-0000-0000-0000D5030000}"/>
    <cellStyle name="Финансовый 2 3 3 2 3 2 2" xfId="982" xr:uid="{00000000-0005-0000-0000-0000D6030000}"/>
    <cellStyle name="Финансовый 2 3 3 2 3 2 2 2" xfId="983" xr:uid="{00000000-0005-0000-0000-0000D7030000}"/>
    <cellStyle name="Финансовый 2 3 3 2 3 2 2 3" xfId="984" xr:uid="{00000000-0005-0000-0000-0000D8030000}"/>
    <cellStyle name="Финансовый 2 3 3 2 3 2 3" xfId="985" xr:uid="{00000000-0005-0000-0000-0000D9030000}"/>
    <cellStyle name="Финансовый 2 3 3 2 3 2 4" xfId="986" xr:uid="{00000000-0005-0000-0000-0000DA030000}"/>
    <cellStyle name="Финансовый 2 3 3 2 3 3" xfId="987" xr:uid="{00000000-0005-0000-0000-0000DB030000}"/>
    <cellStyle name="Финансовый 2 3 3 2 3 3 2" xfId="988" xr:uid="{00000000-0005-0000-0000-0000DC030000}"/>
    <cellStyle name="Финансовый 2 3 3 2 3 3 3" xfId="989" xr:uid="{00000000-0005-0000-0000-0000DD030000}"/>
    <cellStyle name="Финансовый 2 3 3 2 3 4" xfId="990" xr:uid="{00000000-0005-0000-0000-0000DE030000}"/>
    <cellStyle name="Финансовый 2 3 3 2 3 5" xfId="991" xr:uid="{00000000-0005-0000-0000-0000DF030000}"/>
    <cellStyle name="Финансовый 2 3 3 2 4" xfId="992" xr:uid="{00000000-0005-0000-0000-0000E0030000}"/>
    <cellStyle name="Финансовый 2 3 3 2 4 2" xfId="993" xr:uid="{00000000-0005-0000-0000-0000E1030000}"/>
    <cellStyle name="Финансовый 2 3 3 2 4 2 2" xfId="994" xr:uid="{00000000-0005-0000-0000-0000E2030000}"/>
    <cellStyle name="Финансовый 2 3 3 2 4 2 2 2" xfId="995" xr:uid="{00000000-0005-0000-0000-0000E3030000}"/>
    <cellStyle name="Финансовый 2 3 3 2 4 2 2 3" xfId="996" xr:uid="{00000000-0005-0000-0000-0000E4030000}"/>
    <cellStyle name="Финансовый 2 3 3 2 4 2 3" xfId="997" xr:uid="{00000000-0005-0000-0000-0000E5030000}"/>
    <cellStyle name="Финансовый 2 3 3 2 4 2 4" xfId="998" xr:uid="{00000000-0005-0000-0000-0000E6030000}"/>
    <cellStyle name="Финансовый 2 3 3 2 4 3" xfId="999" xr:uid="{00000000-0005-0000-0000-0000E7030000}"/>
    <cellStyle name="Финансовый 2 3 3 2 4 3 2" xfId="1000" xr:uid="{00000000-0005-0000-0000-0000E8030000}"/>
    <cellStyle name="Финансовый 2 3 3 2 4 3 3" xfId="1001" xr:uid="{00000000-0005-0000-0000-0000E9030000}"/>
    <cellStyle name="Финансовый 2 3 3 2 4 4" xfId="1002" xr:uid="{00000000-0005-0000-0000-0000EA030000}"/>
    <cellStyle name="Финансовый 2 3 3 2 4 5" xfId="1003" xr:uid="{00000000-0005-0000-0000-0000EB030000}"/>
    <cellStyle name="Финансовый 2 3 3 2 5" xfId="1004" xr:uid="{00000000-0005-0000-0000-0000EC030000}"/>
    <cellStyle name="Финансовый 2 3 3 2 5 2" xfId="1005" xr:uid="{00000000-0005-0000-0000-0000ED030000}"/>
    <cellStyle name="Финансовый 2 3 3 2 5 2 2" xfId="1006" xr:uid="{00000000-0005-0000-0000-0000EE030000}"/>
    <cellStyle name="Финансовый 2 3 3 2 5 2 3" xfId="1007" xr:uid="{00000000-0005-0000-0000-0000EF030000}"/>
    <cellStyle name="Финансовый 2 3 3 2 5 3" xfId="1008" xr:uid="{00000000-0005-0000-0000-0000F0030000}"/>
    <cellStyle name="Финансовый 2 3 3 2 5 4" xfId="1009" xr:uid="{00000000-0005-0000-0000-0000F1030000}"/>
    <cellStyle name="Финансовый 2 3 3 2 6" xfId="1010" xr:uid="{00000000-0005-0000-0000-0000F2030000}"/>
    <cellStyle name="Финансовый 2 3 3 2 6 2" xfId="1011" xr:uid="{00000000-0005-0000-0000-0000F3030000}"/>
    <cellStyle name="Финансовый 2 3 3 2 6 2 2" xfId="1012" xr:uid="{00000000-0005-0000-0000-0000F4030000}"/>
    <cellStyle name="Финансовый 2 3 3 2 6 2 3" xfId="1013" xr:uid="{00000000-0005-0000-0000-0000F5030000}"/>
    <cellStyle name="Финансовый 2 3 3 2 6 3" xfId="1014" xr:uid="{00000000-0005-0000-0000-0000F6030000}"/>
    <cellStyle name="Финансовый 2 3 3 2 6 4" xfId="1015" xr:uid="{00000000-0005-0000-0000-0000F7030000}"/>
    <cellStyle name="Финансовый 2 3 3 2 7" xfId="1016" xr:uid="{00000000-0005-0000-0000-0000F8030000}"/>
    <cellStyle name="Финансовый 2 3 3 2 7 2" xfId="1017" xr:uid="{00000000-0005-0000-0000-0000F9030000}"/>
    <cellStyle name="Финансовый 2 3 3 2 7 2 2" xfId="1018" xr:uid="{00000000-0005-0000-0000-0000FA030000}"/>
    <cellStyle name="Финансовый 2 3 3 2 7 2 3" xfId="1019" xr:uid="{00000000-0005-0000-0000-0000FB030000}"/>
    <cellStyle name="Финансовый 2 3 3 2 7 3" xfId="1020" xr:uid="{00000000-0005-0000-0000-0000FC030000}"/>
    <cellStyle name="Финансовый 2 3 3 2 7 4" xfId="1021" xr:uid="{00000000-0005-0000-0000-0000FD030000}"/>
    <cellStyle name="Финансовый 2 3 3 2 8" xfId="1022" xr:uid="{00000000-0005-0000-0000-0000FE030000}"/>
    <cellStyle name="Финансовый 2 3 3 2 8 2" xfId="1023" xr:uid="{00000000-0005-0000-0000-0000FF030000}"/>
    <cellStyle name="Финансовый 2 3 3 2 8 2 2" xfId="1024" xr:uid="{00000000-0005-0000-0000-000000040000}"/>
    <cellStyle name="Финансовый 2 3 3 2 8 2 3" xfId="1025" xr:uid="{00000000-0005-0000-0000-000001040000}"/>
    <cellStyle name="Финансовый 2 3 3 2 8 3" xfId="1026" xr:uid="{00000000-0005-0000-0000-000002040000}"/>
    <cellStyle name="Финансовый 2 3 3 2 8 4" xfId="1027" xr:uid="{00000000-0005-0000-0000-000003040000}"/>
    <cellStyle name="Финансовый 2 3 3 2 9" xfId="1028" xr:uid="{00000000-0005-0000-0000-000004040000}"/>
    <cellStyle name="Финансовый 2 3 3 2 9 2" xfId="1029" xr:uid="{00000000-0005-0000-0000-000005040000}"/>
    <cellStyle name="Финансовый 2 3 3 2 9 3" xfId="1030" xr:uid="{00000000-0005-0000-0000-000006040000}"/>
    <cellStyle name="Финансовый 2 3 3 3" xfId="1031" xr:uid="{00000000-0005-0000-0000-000007040000}"/>
    <cellStyle name="Финансовый 2 3 3 3 2" xfId="1032" xr:uid="{00000000-0005-0000-0000-000008040000}"/>
    <cellStyle name="Финансовый 2 3 3 3 2 2" xfId="1033" xr:uid="{00000000-0005-0000-0000-000009040000}"/>
    <cellStyle name="Финансовый 2 3 3 3 2 2 2" xfId="1034" xr:uid="{00000000-0005-0000-0000-00000A040000}"/>
    <cellStyle name="Финансовый 2 3 3 3 2 2 2 2" xfId="1035" xr:uid="{00000000-0005-0000-0000-00000B040000}"/>
    <cellStyle name="Финансовый 2 3 3 3 2 2 2 3" xfId="1036" xr:uid="{00000000-0005-0000-0000-00000C040000}"/>
    <cellStyle name="Финансовый 2 3 3 3 2 2 3" xfId="1037" xr:uid="{00000000-0005-0000-0000-00000D040000}"/>
    <cellStyle name="Финансовый 2 3 3 3 2 2 4" xfId="1038" xr:uid="{00000000-0005-0000-0000-00000E040000}"/>
    <cellStyle name="Финансовый 2 3 3 3 2 3" xfId="1039" xr:uid="{00000000-0005-0000-0000-00000F040000}"/>
    <cellStyle name="Финансовый 2 3 3 3 2 3 2" xfId="1040" xr:uid="{00000000-0005-0000-0000-000010040000}"/>
    <cellStyle name="Финансовый 2 3 3 3 2 3 3" xfId="1041" xr:uid="{00000000-0005-0000-0000-000011040000}"/>
    <cellStyle name="Финансовый 2 3 3 3 2 4" xfId="1042" xr:uid="{00000000-0005-0000-0000-000012040000}"/>
    <cellStyle name="Финансовый 2 3 3 3 2 5" xfId="1043" xr:uid="{00000000-0005-0000-0000-000013040000}"/>
    <cellStyle name="Финансовый 2 3 3 3 3" xfId="1044" xr:uid="{00000000-0005-0000-0000-000014040000}"/>
    <cellStyle name="Финансовый 2 3 3 3 3 2" xfId="1045" xr:uid="{00000000-0005-0000-0000-000015040000}"/>
    <cellStyle name="Финансовый 2 3 3 3 3 2 2" xfId="1046" xr:uid="{00000000-0005-0000-0000-000016040000}"/>
    <cellStyle name="Финансовый 2 3 3 3 3 2 2 2" xfId="1047" xr:uid="{00000000-0005-0000-0000-000017040000}"/>
    <cellStyle name="Финансовый 2 3 3 3 3 2 2 3" xfId="1048" xr:uid="{00000000-0005-0000-0000-000018040000}"/>
    <cellStyle name="Финансовый 2 3 3 3 3 2 3" xfId="1049" xr:uid="{00000000-0005-0000-0000-000019040000}"/>
    <cellStyle name="Финансовый 2 3 3 3 3 2 4" xfId="1050" xr:uid="{00000000-0005-0000-0000-00001A040000}"/>
    <cellStyle name="Финансовый 2 3 3 3 3 3" xfId="1051" xr:uid="{00000000-0005-0000-0000-00001B040000}"/>
    <cellStyle name="Финансовый 2 3 3 3 3 3 2" xfId="1052" xr:uid="{00000000-0005-0000-0000-00001C040000}"/>
    <cellStyle name="Финансовый 2 3 3 3 3 3 3" xfId="1053" xr:uid="{00000000-0005-0000-0000-00001D040000}"/>
    <cellStyle name="Финансовый 2 3 3 3 3 4" xfId="1054" xr:uid="{00000000-0005-0000-0000-00001E040000}"/>
    <cellStyle name="Финансовый 2 3 3 3 3 5" xfId="1055" xr:uid="{00000000-0005-0000-0000-00001F040000}"/>
    <cellStyle name="Финансовый 2 3 3 3 4" xfId="1056" xr:uid="{00000000-0005-0000-0000-000020040000}"/>
    <cellStyle name="Финансовый 2 3 3 3 4 2" xfId="1057" xr:uid="{00000000-0005-0000-0000-000021040000}"/>
    <cellStyle name="Финансовый 2 3 3 3 4 2 2" xfId="1058" xr:uid="{00000000-0005-0000-0000-000022040000}"/>
    <cellStyle name="Финансовый 2 3 3 3 4 2 3" xfId="1059" xr:uid="{00000000-0005-0000-0000-000023040000}"/>
    <cellStyle name="Финансовый 2 3 3 3 4 3" xfId="1060" xr:uid="{00000000-0005-0000-0000-000024040000}"/>
    <cellStyle name="Финансовый 2 3 3 3 4 4" xfId="1061" xr:uid="{00000000-0005-0000-0000-000025040000}"/>
    <cellStyle name="Финансовый 2 3 3 3 5" xfId="1062" xr:uid="{00000000-0005-0000-0000-000026040000}"/>
    <cellStyle name="Финансовый 2 3 3 3 5 2" xfId="1063" xr:uid="{00000000-0005-0000-0000-000027040000}"/>
    <cellStyle name="Финансовый 2 3 3 3 5 3" xfId="1064" xr:uid="{00000000-0005-0000-0000-000028040000}"/>
    <cellStyle name="Финансовый 2 3 3 3 6" xfId="1065" xr:uid="{00000000-0005-0000-0000-000029040000}"/>
    <cellStyle name="Финансовый 2 3 3 3 7" xfId="1066" xr:uid="{00000000-0005-0000-0000-00002A040000}"/>
    <cellStyle name="Финансовый 2 3 3 3 8" xfId="1067" xr:uid="{00000000-0005-0000-0000-00002B040000}"/>
    <cellStyle name="Финансовый 2 3 3 4" xfId="1068" xr:uid="{00000000-0005-0000-0000-00002C040000}"/>
    <cellStyle name="Финансовый 2 3 3 4 2" xfId="1069" xr:uid="{00000000-0005-0000-0000-00002D040000}"/>
    <cellStyle name="Финансовый 2 3 3 4 2 2" xfId="1070" xr:uid="{00000000-0005-0000-0000-00002E040000}"/>
    <cellStyle name="Финансовый 2 3 3 4 2 2 2" xfId="1071" xr:uid="{00000000-0005-0000-0000-00002F040000}"/>
    <cellStyle name="Финансовый 2 3 3 4 2 2 3" xfId="1072" xr:uid="{00000000-0005-0000-0000-000030040000}"/>
    <cellStyle name="Финансовый 2 3 3 4 2 3" xfId="1073" xr:uid="{00000000-0005-0000-0000-000031040000}"/>
    <cellStyle name="Финансовый 2 3 3 4 2 4" xfId="1074" xr:uid="{00000000-0005-0000-0000-000032040000}"/>
    <cellStyle name="Финансовый 2 3 3 4 3" xfId="1075" xr:uid="{00000000-0005-0000-0000-000033040000}"/>
    <cellStyle name="Финансовый 2 3 3 4 3 2" xfId="1076" xr:uid="{00000000-0005-0000-0000-000034040000}"/>
    <cellStyle name="Финансовый 2 3 3 4 3 3" xfId="1077" xr:uid="{00000000-0005-0000-0000-000035040000}"/>
    <cellStyle name="Финансовый 2 3 3 4 4" xfId="1078" xr:uid="{00000000-0005-0000-0000-000036040000}"/>
    <cellStyle name="Финансовый 2 3 3 4 5" xfId="1079" xr:uid="{00000000-0005-0000-0000-000037040000}"/>
    <cellStyle name="Финансовый 2 3 3 5" xfId="1080" xr:uid="{00000000-0005-0000-0000-000038040000}"/>
    <cellStyle name="Финансовый 2 3 3 5 2" xfId="1081" xr:uid="{00000000-0005-0000-0000-000039040000}"/>
    <cellStyle name="Финансовый 2 3 3 5 2 2" xfId="1082" xr:uid="{00000000-0005-0000-0000-00003A040000}"/>
    <cellStyle name="Финансовый 2 3 3 5 2 2 2" xfId="1083" xr:uid="{00000000-0005-0000-0000-00003B040000}"/>
    <cellStyle name="Финансовый 2 3 3 5 2 2 3" xfId="1084" xr:uid="{00000000-0005-0000-0000-00003C040000}"/>
    <cellStyle name="Финансовый 2 3 3 5 2 3" xfId="1085" xr:uid="{00000000-0005-0000-0000-00003D040000}"/>
    <cellStyle name="Финансовый 2 3 3 5 2 4" xfId="1086" xr:uid="{00000000-0005-0000-0000-00003E040000}"/>
    <cellStyle name="Финансовый 2 3 3 5 3" xfId="1087" xr:uid="{00000000-0005-0000-0000-00003F040000}"/>
    <cellStyle name="Финансовый 2 3 3 5 3 2" xfId="1088" xr:uid="{00000000-0005-0000-0000-000040040000}"/>
    <cellStyle name="Финансовый 2 3 3 5 3 3" xfId="1089" xr:uid="{00000000-0005-0000-0000-000041040000}"/>
    <cellStyle name="Финансовый 2 3 3 5 4" xfId="1090" xr:uid="{00000000-0005-0000-0000-000042040000}"/>
    <cellStyle name="Финансовый 2 3 3 5 5" xfId="1091" xr:uid="{00000000-0005-0000-0000-000043040000}"/>
    <cellStyle name="Финансовый 2 3 3 6" xfId="1092" xr:uid="{00000000-0005-0000-0000-000044040000}"/>
    <cellStyle name="Финансовый 2 3 3 6 2" xfId="1093" xr:uid="{00000000-0005-0000-0000-000045040000}"/>
    <cellStyle name="Финансовый 2 3 3 6 2 2" xfId="1094" xr:uid="{00000000-0005-0000-0000-000046040000}"/>
    <cellStyle name="Финансовый 2 3 3 6 2 3" xfId="1095" xr:uid="{00000000-0005-0000-0000-000047040000}"/>
    <cellStyle name="Финансовый 2 3 3 6 3" xfId="1096" xr:uid="{00000000-0005-0000-0000-000048040000}"/>
    <cellStyle name="Финансовый 2 3 3 6 4" xfId="1097" xr:uid="{00000000-0005-0000-0000-000049040000}"/>
    <cellStyle name="Финансовый 2 3 3 7" xfId="1098" xr:uid="{00000000-0005-0000-0000-00004A040000}"/>
    <cellStyle name="Финансовый 2 3 3 7 2" xfId="1099" xr:uid="{00000000-0005-0000-0000-00004B040000}"/>
    <cellStyle name="Финансовый 2 3 3 7 2 2" xfId="1100" xr:uid="{00000000-0005-0000-0000-00004C040000}"/>
    <cellStyle name="Финансовый 2 3 3 7 2 3" xfId="1101" xr:uid="{00000000-0005-0000-0000-00004D040000}"/>
    <cellStyle name="Финансовый 2 3 3 7 3" xfId="1102" xr:uid="{00000000-0005-0000-0000-00004E040000}"/>
    <cellStyle name="Финансовый 2 3 3 7 4" xfId="1103" xr:uid="{00000000-0005-0000-0000-00004F040000}"/>
    <cellStyle name="Финансовый 2 3 3 8" xfId="1104" xr:uid="{00000000-0005-0000-0000-000050040000}"/>
    <cellStyle name="Финансовый 2 3 3 8 2" xfId="1105" xr:uid="{00000000-0005-0000-0000-000051040000}"/>
    <cellStyle name="Финансовый 2 3 3 8 2 2" xfId="1106" xr:uid="{00000000-0005-0000-0000-000052040000}"/>
    <cellStyle name="Финансовый 2 3 3 8 2 3" xfId="1107" xr:uid="{00000000-0005-0000-0000-000053040000}"/>
    <cellStyle name="Финансовый 2 3 3 8 3" xfId="1108" xr:uid="{00000000-0005-0000-0000-000054040000}"/>
    <cellStyle name="Финансовый 2 3 3 8 4" xfId="1109" xr:uid="{00000000-0005-0000-0000-000055040000}"/>
    <cellStyle name="Финансовый 2 3 3 9" xfId="1110" xr:uid="{00000000-0005-0000-0000-000056040000}"/>
    <cellStyle name="Финансовый 2 3 3 9 2" xfId="1111" xr:uid="{00000000-0005-0000-0000-000057040000}"/>
    <cellStyle name="Финансовый 2 3 3 9 2 2" xfId="1112" xr:uid="{00000000-0005-0000-0000-000058040000}"/>
    <cellStyle name="Финансовый 2 3 3 9 2 3" xfId="1113" xr:uid="{00000000-0005-0000-0000-000059040000}"/>
    <cellStyle name="Финансовый 2 3 3 9 3" xfId="1114" xr:uid="{00000000-0005-0000-0000-00005A040000}"/>
    <cellStyle name="Финансовый 2 3 3 9 4" xfId="1115" xr:uid="{00000000-0005-0000-0000-00005B040000}"/>
    <cellStyle name="Финансовый 2 3 4" xfId="1116" xr:uid="{00000000-0005-0000-0000-00005C040000}"/>
    <cellStyle name="Финансовый 2 3 4 10" xfId="1117" xr:uid="{00000000-0005-0000-0000-00005D040000}"/>
    <cellStyle name="Финансовый 2 3 4 11" xfId="1118" xr:uid="{00000000-0005-0000-0000-00005E040000}"/>
    <cellStyle name="Финансовый 2 3 4 12" xfId="1119" xr:uid="{00000000-0005-0000-0000-00005F040000}"/>
    <cellStyle name="Финансовый 2 3 4 13" xfId="1120" xr:uid="{00000000-0005-0000-0000-000060040000}"/>
    <cellStyle name="Финансовый 2 3 4 2" xfId="1121" xr:uid="{00000000-0005-0000-0000-000061040000}"/>
    <cellStyle name="Финансовый 2 3 4 2 2" xfId="1122" xr:uid="{00000000-0005-0000-0000-000062040000}"/>
    <cellStyle name="Финансовый 2 3 4 2 2 2" xfId="1123" xr:uid="{00000000-0005-0000-0000-000063040000}"/>
    <cellStyle name="Финансовый 2 3 4 2 2 2 2" xfId="1124" xr:uid="{00000000-0005-0000-0000-000064040000}"/>
    <cellStyle name="Финансовый 2 3 4 2 2 2 2 2" xfId="1125" xr:uid="{00000000-0005-0000-0000-000065040000}"/>
    <cellStyle name="Финансовый 2 3 4 2 2 2 2 3" xfId="1126" xr:uid="{00000000-0005-0000-0000-000066040000}"/>
    <cellStyle name="Финансовый 2 3 4 2 2 2 3" xfId="1127" xr:uid="{00000000-0005-0000-0000-000067040000}"/>
    <cellStyle name="Финансовый 2 3 4 2 2 2 4" xfId="1128" xr:uid="{00000000-0005-0000-0000-000068040000}"/>
    <cellStyle name="Финансовый 2 3 4 2 2 3" xfId="1129" xr:uid="{00000000-0005-0000-0000-000069040000}"/>
    <cellStyle name="Финансовый 2 3 4 2 2 3 2" xfId="1130" xr:uid="{00000000-0005-0000-0000-00006A040000}"/>
    <cellStyle name="Финансовый 2 3 4 2 2 3 3" xfId="1131" xr:uid="{00000000-0005-0000-0000-00006B040000}"/>
    <cellStyle name="Финансовый 2 3 4 2 2 4" xfId="1132" xr:uid="{00000000-0005-0000-0000-00006C040000}"/>
    <cellStyle name="Финансовый 2 3 4 2 2 5" xfId="1133" xr:uid="{00000000-0005-0000-0000-00006D040000}"/>
    <cellStyle name="Финансовый 2 3 4 2 3" xfId="1134" xr:uid="{00000000-0005-0000-0000-00006E040000}"/>
    <cellStyle name="Финансовый 2 3 4 2 3 2" xfId="1135" xr:uid="{00000000-0005-0000-0000-00006F040000}"/>
    <cellStyle name="Финансовый 2 3 4 2 3 2 2" xfId="1136" xr:uid="{00000000-0005-0000-0000-000070040000}"/>
    <cellStyle name="Финансовый 2 3 4 2 3 2 2 2" xfId="1137" xr:uid="{00000000-0005-0000-0000-000071040000}"/>
    <cellStyle name="Финансовый 2 3 4 2 3 2 2 3" xfId="1138" xr:uid="{00000000-0005-0000-0000-000072040000}"/>
    <cellStyle name="Финансовый 2 3 4 2 3 2 3" xfId="1139" xr:uid="{00000000-0005-0000-0000-000073040000}"/>
    <cellStyle name="Финансовый 2 3 4 2 3 2 4" xfId="1140" xr:uid="{00000000-0005-0000-0000-000074040000}"/>
    <cellStyle name="Финансовый 2 3 4 2 3 3" xfId="1141" xr:uid="{00000000-0005-0000-0000-000075040000}"/>
    <cellStyle name="Финансовый 2 3 4 2 3 3 2" xfId="1142" xr:uid="{00000000-0005-0000-0000-000076040000}"/>
    <cellStyle name="Финансовый 2 3 4 2 3 3 3" xfId="1143" xr:uid="{00000000-0005-0000-0000-000077040000}"/>
    <cellStyle name="Финансовый 2 3 4 2 3 4" xfId="1144" xr:uid="{00000000-0005-0000-0000-000078040000}"/>
    <cellStyle name="Финансовый 2 3 4 2 3 5" xfId="1145" xr:uid="{00000000-0005-0000-0000-000079040000}"/>
    <cellStyle name="Финансовый 2 3 4 2 4" xfId="1146" xr:uid="{00000000-0005-0000-0000-00007A040000}"/>
    <cellStyle name="Финансовый 2 3 4 2 4 2" xfId="1147" xr:uid="{00000000-0005-0000-0000-00007B040000}"/>
    <cellStyle name="Финансовый 2 3 4 2 4 2 2" xfId="1148" xr:uid="{00000000-0005-0000-0000-00007C040000}"/>
    <cellStyle name="Финансовый 2 3 4 2 4 2 3" xfId="1149" xr:uid="{00000000-0005-0000-0000-00007D040000}"/>
    <cellStyle name="Финансовый 2 3 4 2 4 3" xfId="1150" xr:uid="{00000000-0005-0000-0000-00007E040000}"/>
    <cellStyle name="Финансовый 2 3 4 2 4 4" xfId="1151" xr:uid="{00000000-0005-0000-0000-00007F040000}"/>
    <cellStyle name="Финансовый 2 3 4 2 5" xfId="1152" xr:uid="{00000000-0005-0000-0000-000080040000}"/>
    <cellStyle name="Финансовый 2 3 4 2 5 2" xfId="1153" xr:uid="{00000000-0005-0000-0000-000081040000}"/>
    <cellStyle name="Финансовый 2 3 4 2 5 3" xfId="1154" xr:uid="{00000000-0005-0000-0000-000082040000}"/>
    <cellStyle name="Финансовый 2 3 4 2 6" xfId="1155" xr:uid="{00000000-0005-0000-0000-000083040000}"/>
    <cellStyle name="Финансовый 2 3 4 2 7" xfId="1156" xr:uid="{00000000-0005-0000-0000-000084040000}"/>
    <cellStyle name="Финансовый 2 3 4 2 8" xfId="1157" xr:uid="{00000000-0005-0000-0000-000085040000}"/>
    <cellStyle name="Финансовый 2 3 4 3" xfId="1158" xr:uid="{00000000-0005-0000-0000-000086040000}"/>
    <cellStyle name="Финансовый 2 3 4 3 2" xfId="1159" xr:uid="{00000000-0005-0000-0000-000087040000}"/>
    <cellStyle name="Финансовый 2 3 4 3 2 2" xfId="1160" xr:uid="{00000000-0005-0000-0000-000088040000}"/>
    <cellStyle name="Финансовый 2 3 4 3 2 2 2" xfId="1161" xr:uid="{00000000-0005-0000-0000-000089040000}"/>
    <cellStyle name="Финансовый 2 3 4 3 2 2 3" xfId="1162" xr:uid="{00000000-0005-0000-0000-00008A040000}"/>
    <cellStyle name="Финансовый 2 3 4 3 2 3" xfId="1163" xr:uid="{00000000-0005-0000-0000-00008B040000}"/>
    <cellStyle name="Финансовый 2 3 4 3 2 4" xfId="1164" xr:uid="{00000000-0005-0000-0000-00008C040000}"/>
    <cellStyle name="Финансовый 2 3 4 3 3" xfId="1165" xr:uid="{00000000-0005-0000-0000-00008D040000}"/>
    <cellStyle name="Финансовый 2 3 4 3 3 2" xfId="1166" xr:uid="{00000000-0005-0000-0000-00008E040000}"/>
    <cellStyle name="Финансовый 2 3 4 3 3 3" xfId="1167" xr:uid="{00000000-0005-0000-0000-00008F040000}"/>
    <cellStyle name="Финансовый 2 3 4 3 4" xfId="1168" xr:uid="{00000000-0005-0000-0000-000090040000}"/>
    <cellStyle name="Финансовый 2 3 4 3 5" xfId="1169" xr:uid="{00000000-0005-0000-0000-000091040000}"/>
    <cellStyle name="Финансовый 2 3 4 4" xfId="1170" xr:uid="{00000000-0005-0000-0000-000092040000}"/>
    <cellStyle name="Финансовый 2 3 4 4 2" xfId="1171" xr:uid="{00000000-0005-0000-0000-000093040000}"/>
    <cellStyle name="Финансовый 2 3 4 4 2 2" xfId="1172" xr:uid="{00000000-0005-0000-0000-000094040000}"/>
    <cellStyle name="Финансовый 2 3 4 4 2 2 2" xfId="1173" xr:uid="{00000000-0005-0000-0000-000095040000}"/>
    <cellStyle name="Финансовый 2 3 4 4 2 2 3" xfId="1174" xr:uid="{00000000-0005-0000-0000-000096040000}"/>
    <cellStyle name="Финансовый 2 3 4 4 2 3" xfId="1175" xr:uid="{00000000-0005-0000-0000-000097040000}"/>
    <cellStyle name="Финансовый 2 3 4 4 2 4" xfId="1176" xr:uid="{00000000-0005-0000-0000-000098040000}"/>
    <cellStyle name="Финансовый 2 3 4 4 3" xfId="1177" xr:uid="{00000000-0005-0000-0000-000099040000}"/>
    <cellStyle name="Финансовый 2 3 4 4 3 2" xfId="1178" xr:uid="{00000000-0005-0000-0000-00009A040000}"/>
    <cellStyle name="Финансовый 2 3 4 4 3 3" xfId="1179" xr:uid="{00000000-0005-0000-0000-00009B040000}"/>
    <cellStyle name="Финансовый 2 3 4 4 4" xfId="1180" xr:uid="{00000000-0005-0000-0000-00009C040000}"/>
    <cellStyle name="Финансовый 2 3 4 4 5" xfId="1181" xr:uid="{00000000-0005-0000-0000-00009D040000}"/>
    <cellStyle name="Финансовый 2 3 4 5" xfId="1182" xr:uid="{00000000-0005-0000-0000-00009E040000}"/>
    <cellStyle name="Финансовый 2 3 4 5 2" xfId="1183" xr:uid="{00000000-0005-0000-0000-00009F040000}"/>
    <cellStyle name="Финансовый 2 3 4 5 2 2" xfId="1184" xr:uid="{00000000-0005-0000-0000-0000A0040000}"/>
    <cellStyle name="Финансовый 2 3 4 5 2 3" xfId="1185" xr:uid="{00000000-0005-0000-0000-0000A1040000}"/>
    <cellStyle name="Финансовый 2 3 4 5 3" xfId="1186" xr:uid="{00000000-0005-0000-0000-0000A2040000}"/>
    <cellStyle name="Финансовый 2 3 4 5 4" xfId="1187" xr:uid="{00000000-0005-0000-0000-0000A3040000}"/>
    <cellStyle name="Финансовый 2 3 4 6" xfId="1188" xr:uid="{00000000-0005-0000-0000-0000A4040000}"/>
    <cellStyle name="Финансовый 2 3 4 6 2" xfId="1189" xr:uid="{00000000-0005-0000-0000-0000A5040000}"/>
    <cellStyle name="Финансовый 2 3 4 6 2 2" xfId="1190" xr:uid="{00000000-0005-0000-0000-0000A6040000}"/>
    <cellStyle name="Финансовый 2 3 4 6 2 3" xfId="1191" xr:uid="{00000000-0005-0000-0000-0000A7040000}"/>
    <cellStyle name="Финансовый 2 3 4 6 3" xfId="1192" xr:uid="{00000000-0005-0000-0000-0000A8040000}"/>
    <cellStyle name="Финансовый 2 3 4 6 4" xfId="1193" xr:uid="{00000000-0005-0000-0000-0000A9040000}"/>
    <cellStyle name="Финансовый 2 3 4 7" xfId="1194" xr:uid="{00000000-0005-0000-0000-0000AA040000}"/>
    <cellStyle name="Финансовый 2 3 4 7 2" xfId="1195" xr:uid="{00000000-0005-0000-0000-0000AB040000}"/>
    <cellStyle name="Финансовый 2 3 4 7 2 2" xfId="1196" xr:uid="{00000000-0005-0000-0000-0000AC040000}"/>
    <cellStyle name="Финансовый 2 3 4 7 2 3" xfId="1197" xr:uid="{00000000-0005-0000-0000-0000AD040000}"/>
    <cellStyle name="Финансовый 2 3 4 7 3" xfId="1198" xr:uid="{00000000-0005-0000-0000-0000AE040000}"/>
    <cellStyle name="Финансовый 2 3 4 7 4" xfId="1199" xr:uid="{00000000-0005-0000-0000-0000AF040000}"/>
    <cellStyle name="Финансовый 2 3 4 8" xfId="1200" xr:uid="{00000000-0005-0000-0000-0000B0040000}"/>
    <cellStyle name="Финансовый 2 3 4 8 2" xfId="1201" xr:uid="{00000000-0005-0000-0000-0000B1040000}"/>
    <cellStyle name="Финансовый 2 3 4 8 2 2" xfId="1202" xr:uid="{00000000-0005-0000-0000-0000B2040000}"/>
    <cellStyle name="Финансовый 2 3 4 8 2 3" xfId="1203" xr:uid="{00000000-0005-0000-0000-0000B3040000}"/>
    <cellStyle name="Финансовый 2 3 4 8 3" xfId="1204" xr:uid="{00000000-0005-0000-0000-0000B4040000}"/>
    <cellStyle name="Финансовый 2 3 4 8 4" xfId="1205" xr:uid="{00000000-0005-0000-0000-0000B5040000}"/>
    <cellStyle name="Финансовый 2 3 4 9" xfId="1206" xr:uid="{00000000-0005-0000-0000-0000B6040000}"/>
    <cellStyle name="Финансовый 2 3 4 9 2" xfId="1207" xr:uid="{00000000-0005-0000-0000-0000B7040000}"/>
    <cellStyle name="Финансовый 2 3 4 9 3" xfId="1208" xr:uid="{00000000-0005-0000-0000-0000B8040000}"/>
    <cellStyle name="Финансовый 2 3 5" xfId="1209" xr:uid="{00000000-0005-0000-0000-0000B9040000}"/>
    <cellStyle name="Финансовый 2 3 5 10" xfId="1210" xr:uid="{00000000-0005-0000-0000-0000BA040000}"/>
    <cellStyle name="Финансовый 2 3 5 11" xfId="1211" xr:uid="{00000000-0005-0000-0000-0000BB040000}"/>
    <cellStyle name="Финансовый 2 3 5 12" xfId="1212" xr:uid="{00000000-0005-0000-0000-0000BC040000}"/>
    <cellStyle name="Финансовый 2 3 5 13" xfId="1213" xr:uid="{00000000-0005-0000-0000-0000BD040000}"/>
    <cellStyle name="Финансовый 2 3 5 2" xfId="1214" xr:uid="{00000000-0005-0000-0000-0000BE040000}"/>
    <cellStyle name="Финансовый 2 3 5 2 2" xfId="1215" xr:uid="{00000000-0005-0000-0000-0000BF040000}"/>
    <cellStyle name="Финансовый 2 3 5 2 2 2" xfId="1216" xr:uid="{00000000-0005-0000-0000-0000C0040000}"/>
    <cellStyle name="Финансовый 2 3 5 2 2 2 2" xfId="1217" xr:uid="{00000000-0005-0000-0000-0000C1040000}"/>
    <cellStyle name="Финансовый 2 3 5 2 2 2 2 2" xfId="1218" xr:uid="{00000000-0005-0000-0000-0000C2040000}"/>
    <cellStyle name="Финансовый 2 3 5 2 2 2 2 3" xfId="1219" xr:uid="{00000000-0005-0000-0000-0000C3040000}"/>
    <cellStyle name="Финансовый 2 3 5 2 2 2 3" xfId="1220" xr:uid="{00000000-0005-0000-0000-0000C4040000}"/>
    <cellStyle name="Финансовый 2 3 5 2 2 2 4" xfId="1221" xr:uid="{00000000-0005-0000-0000-0000C5040000}"/>
    <cellStyle name="Финансовый 2 3 5 2 2 3" xfId="1222" xr:uid="{00000000-0005-0000-0000-0000C6040000}"/>
    <cellStyle name="Финансовый 2 3 5 2 2 3 2" xfId="1223" xr:uid="{00000000-0005-0000-0000-0000C7040000}"/>
    <cellStyle name="Финансовый 2 3 5 2 2 3 3" xfId="1224" xr:uid="{00000000-0005-0000-0000-0000C8040000}"/>
    <cellStyle name="Финансовый 2 3 5 2 2 4" xfId="1225" xr:uid="{00000000-0005-0000-0000-0000C9040000}"/>
    <cellStyle name="Финансовый 2 3 5 2 2 5" xfId="1226" xr:uid="{00000000-0005-0000-0000-0000CA040000}"/>
    <cellStyle name="Финансовый 2 3 5 2 3" xfId="1227" xr:uid="{00000000-0005-0000-0000-0000CB040000}"/>
    <cellStyle name="Финансовый 2 3 5 2 3 2" xfId="1228" xr:uid="{00000000-0005-0000-0000-0000CC040000}"/>
    <cellStyle name="Финансовый 2 3 5 2 3 2 2" xfId="1229" xr:uid="{00000000-0005-0000-0000-0000CD040000}"/>
    <cellStyle name="Финансовый 2 3 5 2 3 2 2 2" xfId="1230" xr:uid="{00000000-0005-0000-0000-0000CE040000}"/>
    <cellStyle name="Финансовый 2 3 5 2 3 2 2 3" xfId="1231" xr:uid="{00000000-0005-0000-0000-0000CF040000}"/>
    <cellStyle name="Финансовый 2 3 5 2 3 2 3" xfId="1232" xr:uid="{00000000-0005-0000-0000-0000D0040000}"/>
    <cellStyle name="Финансовый 2 3 5 2 3 2 4" xfId="1233" xr:uid="{00000000-0005-0000-0000-0000D1040000}"/>
    <cellStyle name="Финансовый 2 3 5 2 3 3" xfId="1234" xr:uid="{00000000-0005-0000-0000-0000D2040000}"/>
    <cellStyle name="Финансовый 2 3 5 2 3 3 2" xfId="1235" xr:uid="{00000000-0005-0000-0000-0000D3040000}"/>
    <cellStyle name="Финансовый 2 3 5 2 3 3 3" xfId="1236" xr:uid="{00000000-0005-0000-0000-0000D4040000}"/>
    <cellStyle name="Финансовый 2 3 5 2 3 4" xfId="1237" xr:uid="{00000000-0005-0000-0000-0000D5040000}"/>
    <cellStyle name="Финансовый 2 3 5 2 3 5" xfId="1238" xr:uid="{00000000-0005-0000-0000-0000D6040000}"/>
    <cellStyle name="Финансовый 2 3 5 2 4" xfId="1239" xr:uid="{00000000-0005-0000-0000-0000D7040000}"/>
    <cellStyle name="Финансовый 2 3 5 2 4 2" xfId="1240" xr:uid="{00000000-0005-0000-0000-0000D8040000}"/>
    <cellStyle name="Финансовый 2 3 5 2 4 2 2" xfId="1241" xr:uid="{00000000-0005-0000-0000-0000D9040000}"/>
    <cellStyle name="Финансовый 2 3 5 2 4 2 3" xfId="1242" xr:uid="{00000000-0005-0000-0000-0000DA040000}"/>
    <cellStyle name="Финансовый 2 3 5 2 4 3" xfId="1243" xr:uid="{00000000-0005-0000-0000-0000DB040000}"/>
    <cellStyle name="Финансовый 2 3 5 2 4 4" xfId="1244" xr:uid="{00000000-0005-0000-0000-0000DC040000}"/>
    <cellStyle name="Финансовый 2 3 5 2 5" xfId="1245" xr:uid="{00000000-0005-0000-0000-0000DD040000}"/>
    <cellStyle name="Финансовый 2 3 5 2 5 2" xfId="1246" xr:uid="{00000000-0005-0000-0000-0000DE040000}"/>
    <cellStyle name="Финансовый 2 3 5 2 5 3" xfId="1247" xr:uid="{00000000-0005-0000-0000-0000DF040000}"/>
    <cellStyle name="Финансовый 2 3 5 2 6" xfId="1248" xr:uid="{00000000-0005-0000-0000-0000E0040000}"/>
    <cellStyle name="Финансовый 2 3 5 2 7" xfId="1249" xr:uid="{00000000-0005-0000-0000-0000E1040000}"/>
    <cellStyle name="Финансовый 2 3 5 2 8" xfId="1250" xr:uid="{00000000-0005-0000-0000-0000E2040000}"/>
    <cellStyle name="Финансовый 2 3 5 3" xfId="1251" xr:uid="{00000000-0005-0000-0000-0000E3040000}"/>
    <cellStyle name="Финансовый 2 3 5 3 2" xfId="1252" xr:uid="{00000000-0005-0000-0000-0000E4040000}"/>
    <cellStyle name="Финансовый 2 3 5 3 2 2" xfId="1253" xr:uid="{00000000-0005-0000-0000-0000E5040000}"/>
    <cellStyle name="Финансовый 2 3 5 3 2 2 2" xfId="1254" xr:uid="{00000000-0005-0000-0000-0000E6040000}"/>
    <cellStyle name="Финансовый 2 3 5 3 2 2 3" xfId="1255" xr:uid="{00000000-0005-0000-0000-0000E7040000}"/>
    <cellStyle name="Финансовый 2 3 5 3 2 3" xfId="1256" xr:uid="{00000000-0005-0000-0000-0000E8040000}"/>
    <cellStyle name="Финансовый 2 3 5 3 2 4" xfId="1257" xr:uid="{00000000-0005-0000-0000-0000E9040000}"/>
    <cellStyle name="Финансовый 2 3 5 3 3" xfId="1258" xr:uid="{00000000-0005-0000-0000-0000EA040000}"/>
    <cellStyle name="Финансовый 2 3 5 3 3 2" xfId="1259" xr:uid="{00000000-0005-0000-0000-0000EB040000}"/>
    <cellStyle name="Финансовый 2 3 5 3 3 3" xfId="1260" xr:uid="{00000000-0005-0000-0000-0000EC040000}"/>
    <cellStyle name="Финансовый 2 3 5 3 4" xfId="1261" xr:uid="{00000000-0005-0000-0000-0000ED040000}"/>
    <cellStyle name="Финансовый 2 3 5 3 5" xfId="1262" xr:uid="{00000000-0005-0000-0000-0000EE040000}"/>
    <cellStyle name="Финансовый 2 3 5 4" xfId="1263" xr:uid="{00000000-0005-0000-0000-0000EF040000}"/>
    <cellStyle name="Финансовый 2 3 5 4 2" xfId="1264" xr:uid="{00000000-0005-0000-0000-0000F0040000}"/>
    <cellStyle name="Финансовый 2 3 5 4 2 2" xfId="1265" xr:uid="{00000000-0005-0000-0000-0000F1040000}"/>
    <cellStyle name="Финансовый 2 3 5 4 2 2 2" xfId="1266" xr:uid="{00000000-0005-0000-0000-0000F2040000}"/>
    <cellStyle name="Финансовый 2 3 5 4 2 2 3" xfId="1267" xr:uid="{00000000-0005-0000-0000-0000F3040000}"/>
    <cellStyle name="Финансовый 2 3 5 4 2 3" xfId="1268" xr:uid="{00000000-0005-0000-0000-0000F4040000}"/>
    <cellStyle name="Финансовый 2 3 5 4 2 4" xfId="1269" xr:uid="{00000000-0005-0000-0000-0000F5040000}"/>
    <cellStyle name="Финансовый 2 3 5 4 3" xfId="1270" xr:uid="{00000000-0005-0000-0000-0000F6040000}"/>
    <cellStyle name="Финансовый 2 3 5 4 3 2" xfId="1271" xr:uid="{00000000-0005-0000-0000-0000F7040000}"/>
    <cellStyle name="Финансовый 2 3 5 4 3 3" xfId="1272" xr:uid="{00000000-0005-0000-0000-0000F8040000}"/>
    <cellStyle name="Финансовый 2 3 5 4 4" xfId="1273" xr:uid="{00000000-0005-0000-0000-0000F9040000}"/>
    <cellStyle name="Финансовый 2 3 5 4 5" xfId="1274" xr:uid="{00000000-0005-0000-0000-0000FA040000}"/>
    <cellStyle name="Финансовый 2 3 5 5" xfId="1275" xr:uid="{00000000-0005-0000-0000-0000FB040000}"/>
    <cellStyle name="Финансовый 2 3 5 5 2" xfId="1276" xr:uid="{00000000-0005-0000-0000-0000FC040000}"/>
    <cellStyle name="Финансовый 2 3 5 5 2 2" xfId="1277" xr:uid="{00000000-0005-0000-0000-0000FD040000}"/>
    <cellStyle name="Финансовый 2 3 5 5 2 3" xfId="1278" xr:uid="{00000000-0005-0000-0000-0000FE040000}"/>
    <cellStyle name="Финансовый 2 3 5 5 3" xfId="1279" xr:uid="{00000000-0005-0000-0000-0000FF040000}"/>
    <cellStyle name="Финансовый 2 3 5 5 4" xfId="1280" xr:uid="{00000000-0005-0000-0000-000000050000}"/>
    <cellStyle name="Финансовый 2 3 5 6" xfId="1281" xr:uid="{00000000-0005-0000-0000-000001050000}"/>
    <cellStyle name="Финансовый 2 3 5 6 2" xfId="1282" xr:uid="{00000000-0005-0000-0000-000002050000}"/>
    <cellStyle name="Финансовый 2 3 5 6 2 2" xfId="1283" xr:uid="{00000000-0005-0000-0000-000003050000}"/>
    <cellStyle name="Финансовый 2 3 5 6 2 3" xfId="1284" xr:uid="{00000000-0005-0000-0000-000004050000}"/>
    <cellStyle name="Финансовый 2 3 5 6 3" xfId="1285" xr:uid="{00000000-0005-0000-0000-000005050000}"/>
    <cellStyle name="Финансовый 2 3 5 6 4" xfId="1286" xr:uid="{00000000-0005-0000-0000-000006050000}"/>
    <cellStyle name="Финансовый 2 3 5 7" xfId="1287" xr:uid="{00000000-0005-0000-0000-000007050000}"/>
    <cellStyle name="Финансовый 2 3 5 7 2" xfId="1288" xr:uid="{00000000-0005-0000-0000-000008050000}"/>
    <cellStyle name="Финансовый 2 3 5 7 2 2" xfId="1289" xr:uid="{00000000-0005-0000-0000-000009050000}"/>
    <cellStyle name="Финансовый 2 3 5 7 2 3" xfId="1290" xr:uid="{00000000-0005-0000-0000-00000A050000}"/>
    <cellStyle name="Финансовый 2 3 5 7 3" xfId="1291" xr:uid="{00000000-0005-0000-0000-00000B050000}"/>
    <cellStyle name="Финансовый 2 3 5 7 4" xfId="1292" xr:uid="{00000000-0005-0000-0000-00000C050000}"/>
    <cellStyle name="Финансовый 2 3 5 8" xfId="1293" xr:uid="{00000000-0005-0000-0000-00000D050000}"/>
    <cellStyle name="Финансовый 2 3 5 8 2" xfId="1294" xr:uid="{00000000-0005-0000-0000-00000E050000}"/>
    <cellStyle name="Финансовый 2 3 5 8 2 2" xfId="1295" xr:uid="{00000000-0005-0000-0000-00000F050000}"/>
    <cellStyle name="Финансовый 2 3 5 8 2 3" xfId="1296" xr:uid="{00000000-0005-0000-0000-000010050000}"/>
    <cellStyle name="Финансовый 2 3 5 8 3" xfId="1297" xr:uid="{00000000-0005-0000-0000-000011050000}"/>
    <cellStyle name="Финансовый 2 3 5 8 4" xfId="1298" xr:uid="{00000000-0005-0000-0000-000012050000}"/>
    <cellStyle name="Финансовый 2 3 5 9" xfId="1299" xr:uid="{00000000-0005-0000-0000-000013050000}"/>
    <cellStyle name="Финансовый 2 3 5 9 2" xfId="1300" xr:uid="{00000000-0005-0000-0000-000014050000}"/>
    <cellStyle name="Финансовый 2 3 5 9 3" xfId="1301" xr:uid="{00000000-0005-0000-0000-000015050000}"/>
    <cellStyle name="Финансовый 2 3 6" xfId="1302" xr:uid="{00000000-0005-0000-0000-000016050000}"/>
    <cellStyle name="Финансовый 2 3 6 2" xfId="1303" xr:uid="{00000000-0005-0000-0000-000017050000}"/>
    <cellStyle name="Финансовый 2 3 6 2 2" xfId="1304" xr:uid="{00000000-0005-0000-0000-000018050000}"/>
    <cellStyle name="Финансовый 2 3 6 2 2 2" xfId="1305" xr:uid="{00000000-0005-0000-0000-000019050000}"/>
    <cellStyle name="Финансовый 2 3 6 2 2 2 2" xfId="1306" xr:uid="{00000000-0005-0000-0000-00001A050000}"/>
    <cellStyle name="Финансовый 2 3 6 2 2 2 3" xfId="1307" xr:uid="{00000000-0005-0000-0000-00001B050000}"/>
    <cellStyle name="Финансовый 2 3 6 2 2 3" xfId="1308" xr:uid="{00000000-0005-0000-0000-00001C050000}"/>
    <cellStyle name="Финансовый 2 3 6 2 2 4" xfId="1309" xr:uid="{00000000-0005-0000-0000-00001D050000}"/>
    <cellStyle name="Финансовый 2 3 6 2 3" xfId="1310" xr:uid="{00000000-0005-0000-0000-00001E050000}"/>
    <cellStyle name="Финансовый 2 3 6 2 3 2" xfId="1311" xr:uid="{00000000-0005-0000-0000-00001F050000}"/>
    <cellStyle name="Финансовый 2 3 6 2 3 3" xfId="1312" xr:uid="{00000000-0005-0000-0000-000020050000}"/>
    <cellStyle name="Финансовый 2 3 6 2 4" xfId="1313" xr:uid="{00000000-0005-0000-0000-000021050000}"/>
    <cellStyle name="Финансовый 2 3 6 2 5" xfId="1314" xr:uid="{00000000-0005-0000-0000-000022050000}"/>
    <cellStyle name="Финансовый 2 3 6 3" xfId="1315" xr:uid="{00000000-0005-0000-0000-000023050000}"/>
    <cellStyle name="Финансовый 2 3 6 3 2" xfId="1316" xr:uid="{00000000-0005-0000-0000-000024050000}"/>
    <cellStyle name="Финансовый 2 3 6 3 2 2" xfId="1317" xr:uid="{00000000-0005-0000-0000-000025050000}"/>
    <cellStyle name="Финансовый 2 3 6 3 2 2 2" xfId="1318" xr:uid="{00000000-0005-0000-0000-000026050000}"/>
    <cellStyle name="Финансовый 2 3 6 3 2 2 3" xfId="1319" xr:uid="{00000000-0005-0000-0000-000027050000}"/>
    <cellStyle name="Финансовый 2 3 6 3 2 3" xfId="1320" xr:uid="{00000000-0005-0000-0000-000028050000}"/>
    <cellStyle name="Финансовый 2 3 6 3 2 4" xfId="1321" xr:uid="{00000000-0005-0000-0000-000029050000}"/>
    <cellStyle name="Финансовый 2 3 6 3 3" xfId="1322" xr:uid="{00000000-0005-0000-0000-00002A050000}"/>
    <cellStyle name="Финансовый 2 3 6 3 3 2" xfId="1323" xr:uid="{00000000-0005-0000-0000-00002B050000}"/>
    <cellStyle name="Финансовый 2 3 6 3 3 3" xfId="1324" xr:uid="{00000000-0005-0000-0000-00002C050000}"/>
    <cellStyle name="Финансовый 2 3 6 3 4" xfId="1325" xr:uid="{00000000-0005-0000-0000-00002D050000}"/>
    <cellStyle name="Финансовый 2 3 6 3 5" xfId="1326" xr:uid="{00000000-0005-0000-0000-00002E050000}"/>
    <cellStyle name="Финансовый 2 3 6 4" xfId="1327" xr:uid="{00000000-0005-0000-0000-00002F050000}"/>
    <cellStyle name="Финансовый 2 3 6 4 2" xfId="1328" xr:uid="{00000000-0005-0000-0000-000030050000}"/>
    <cellStyle name="Финансовый 2 3 6 4 2 2" xfId="1329" xr:uid="{00000000-0005-0000-0000-000031050000}"/>
    <cellStyle name="Финансовый 2 3 6 4 2 3" xfId="1330" xr:uid="{00000000-0005-0000-0000-000032050000}"/>
    <cellStyle name="Финансовый 2 3 6 4 3" xfId="1331" xr:uid="{00000000-0005-0000-0000-000033050000}"/>
    <cellStyle name="Финансовый 2 3 6 4 4" xfId="1332" xr:uid="{00000000-0005-0000-0000-000034050000}"/>
    <cellStyle name="Финансовый 2 3 6 5" xfId="1333" xr:uid="{00000000-0005-0000-0000-000035050000}"/>
    <cellStyle name="Финансовый 2 3 6 5 2" xfId="1334" xr:uid="{00000000-0005-0000-0000-000036050000}"/>
    <cellStyle name="Финансовый 2 3 6 5 3" xfId="1335" xr:uid="{00000000-0005-0000-0000-000037050000}"/>
    <cellStyle name="Финансовый 2 3 6 6" xfId="1336" xr:uid="{00000000-0005-0000-0000-000038050000}"/>
    <cellStyle name="Финансовый 2 3 6 7" xfId="1337" xr:uid="{00000000-0005-0000-0000-000039050000}"/>
    <cellStyle name="Финансовый 2 3 6 8" xfId="1338" xr:uid="{00000000-0005-0000-0000-00003A050000}"/>
    <cellStyle name="Финансовый 2 3 7" xfId="1339" xr:uid="{00000000-0005-0000-0000-00003B050000}"/>
    <cellStyle name="Финансовый 2 3 7 2" xfId="1340" xr:uid="{00000000-0005-0000-0000-00003C050000}"/>
    <cellStyle name="Финансовый 2 3 7 2 2" xfId="1341" xr:uid="{00000000-0005-0000-0000-00003D050000}"/>
    <cellStyle name="Финансовый 2 3 7 2 2 2" xfId="1342" xr:uid="{00000000-0005-0000-0000-00003E050000}"/>
    <cellStyle name="Финансовый 2 3 7 2 2 3" xfId="1343" xr:uid="{00000000-0005-0000-0000-00003F050000}"/>
    <cellStyle name="Финансовый 2 3 7 2 3" xfId="1344" xr:uid="{00000000-0005-0000-0000-000040050000}"/>
    <cellStyle name="Финансовый 2 3 7 2 4" xfId="1345" xr:uid="{00000000-0005-0000-0000-000041050000}"/>
    <cellStyle name="Финансовый 2 3 7 3" xfId="1346" xr:uid="{00000000-0005-0000-0000-000042050000}"/>
    <cellStyle name="Финансовый 2 3 7 3 2" xfId="1347" xr:uid="{00000000-0005-0000-0000-000043050000}"/>
    <cellStyle name="Финансовый 2 3 7 3 3" xfId="1348" xr:uid="{00000000-0005-0000-0000-000044050000}"/>
    <cellStyle name="Финансовый 2 3 7 4" xfId="1349" xr:uid="{00000000-0005-0000-0000-000045050000}"/>
    <cellStyle name="Финансовый 2 3 7 5" xfId="1350" xr:uid="{00000000-0005-0000-0000-000046050000}"/>
    <cellStyle name="Финансовый 2 3 8" xfId="1351" xr:uid="{00000000-0005-0000-0000-000047050000}"/>
    <cellStyle name="Финансовый 2 3 8 2" xfId="1352" xr:uid="{00000000-0005-0000-0000-000048050000}"/>
    <cellStyle name="Финансовый 2 3 8 2 2" xfId="1353" xr:uid="{00000000-0005-0000-0000-000049050000}"/>
    <cellStyle name="Финансовый 2 3 8 2 2 2" xfId="1354" xr:uid="{00000000-0005-0000-0000-00004A050000}"/>
    <cellStyle name="Финансовый 2 3 8 2 2 3" xfId="1355" xr:uid="{00000000-0005-0000-0000-00004B050000}"/>
    <cellStyle name="Финансовый 2 3 8 2 3" xfId="1356" xr:uid="{00000000-0005-0000-0000-00004C050000}"/>
    <cellStyle name="Финансовый 2 3 8 2 4" xfId="1357" xr:uid="{00000000-0005-0000-0000-00004D050000}"/>
    <cellStyle name="Финансовый 2 3 8 3" xfId="1358" xr:uid="{00000000-0005-0000-0000-00004E050000}"/>
    <cellStyle name="Финансовый 2 3 8 3 2" xfId="1359" xr:uid="{00000000-0005-0000-0000-00004F050000}"/>
    <cellStyle name="Финансовый 2 3 8 3 3" xfId="1360" xr:uid="{00000000-0005-0000-0000-000050050000}"/>
    <cellStyle name="Финансовый 2 3 8 4" xfId="1361" xr:uid="{00000000-0005-0000-0000-000051050000}"/>
    <cellStyle name="Финансовый 2 3 8 5" xfId="1362" xr:uid="{00000000-0005-0000-0000-000052050000}"/>
    <cellStyle name="Финансовый 2 3 9" xfId="1363" xr:uid="{00000000-0005-0000-0000-000053050000}"/>
    <cellStyle name="Финансовый 2 3 9 2" xfId="1364" xr:uid="{00000000-0005-0000-0000-000054050000}"/>
    <cellStyle name="Финансовый 2 3 9 2 2" xfId="1365" xr:uid="{00000000-0005-0000-0000-000055050000}"/>
    <cellStyle name="Финансовый 2 3 9 2 3" xfId="1366" xr:uid="{00000000-0005-0000-0000-000056050000}"/>
    <cellStyle name="Финансовый 2 3 9 3" xfId="1367" xr:uid="{00000000-0005-0000-0000-000057050000}"/>
    <cellStyle name="Финансовый 2 3 9 4" xfId="1368" xr:uid="{00000000-0005-0000-0000-000058050000}"/>
    <cellStyle name="Финансовый 2 4" xfId="1369" xr:uid="{00000000-0005-0000-0000-000059050000}"/>
    <cellStyle name="Финансовый 2 4 10" xfId="1370" xr:uid="{00000000-0005-0000-0000-00005A050000}"/>
    <cellStyle name="Финансовый 2 4 10 2" xfId="1371" xr:uid="{00000000-0005-0000-0000-00005B050000}"/>
    <cellStyle name="Финансовый 2 4 10 2 2" xfId="1372" xr:uid="{00000000-0005-0000-0000-00005C050000}"/>
    <cellStyle name="Финансовый 2 4 10 2 3" xfId="1373" xr:uid="{00000000-0005-0000-0000-00005D050000}"/>
    <cellStyle name="Финансовый 2 4 10 3" xfId="1374" xr:uid="{00000000-0005-0000-0000-00005E050000}"/>
    <cellStyle name="Финансовый 2 4 10 4" xfId="1375" xr:uid="{00000000-0005-0000-0000-00005F050000}"/>
    <cellStyle name="Финансовый 2 4 11" xfId="1376" xr:uid="{00000000-0005-0000-0000-000060050000}"/>
    <cellStyle name="Финансовый 2 4 11 2" xfId="1377" xr:uid="{00000000-0005-0000-0000-000061050000}"/>
    <cellStyle name="Финансовый 2 4 11 2 2" xfId="1378" xr:uid="{00000000-0005-0000-0000-000062050000}"/>
    <cellStyle name="Финансовый 2 4 11 2 3" xfId="1379" xr:uid="{00000000-0005-0000-0000-000063050000}"/>
    <cellStyle name="Финансовый 2 4 11 3" xfId="1380" xr:uid="{00000000-0005-0000-0000-000064050000}"/>
    <cellStyle name="Финансовый 2 4 11 4" xfId="1381" xr:uid="{00000000-0005-0000-0000-000065050000}"/>
    <cellStyle name="Финансовый 2 4 12" xfId="1382" xr:uid="{00000000-0005-0000-0000-000066050000}"/>
    <cellStyle name="Финансовый 2 4 12 2" xfId="1383" xr:uid="{00000000-0005-0000-0000-000067050000}"/>
    <cellStyle name="Финансовый 2 4 12 3" xfId="1384" xr:uid="{00000000-0005-0000-0000-000068050000}"/>
    <cellStyle name="Финансовый 2 4 13" xfId="1385" xr:uid="{00000000-0005-0000-0000-000069050000}"/>
    <cellStyle name="Финансовый 2 4 14" xfId="1386" xr:uid="{00000000-0005-0000-0000-00006A050000}"/>
    <cellStyle name="Финансовый 2 4 15" xfId="1387" xr:uid="{00000000-0005-0000-0000-00006B050000}"/>
    <cellStyle name="Финансовый 2 4 16" xfId="1388" xr:uid="{00000000-0005-0000-0000-00006C050000}"/>
    <cellStyle name="Финансовый 2 4 2" xfId="1389" xr:uid="{00000000-0005-0000-0000-00006D050000}"/>
    <cellStyle name="Финансовый 2 4 2 10" xfId="1390" xr:uid="{00000000-0005-0000-0000-00006E050000}"/>
    <cellStyle name="Финансовый 2 4 2 10 2" xfId="1391" xr:uid="{00000000-0005-0000-0000-00006F050000}"/>
    <cellStyle name="Финансовый 2 4 2 10 3" xfId="1392" xr:uid="{00000000-0005-0000-0000-000070050000}"/>
    <cellStyle name="Финансовый 2 4 2 11" xfId="1393" xr:uid="{00000000-0005-0000-0000-000071050000}"/>
    <cellStyle name="Финансовый 2 4 2 12" xfId="1394" xr:uid="{00000000-0005-0000-0000-000072050000}"/>
    <cellStyle name="Финансовый 2 4 2 13" xfId="1395" xr:uid="{00000000-0005-0000-0000-000073050000}"/>
    <cellStyle name="Финансовый 2 4 2 14" xfId="1396" xr:uid="{00000000-0005-0000-0000-000074050000}"/>
    <cellStyle name="Финансовый 2 4 2 2" xfId="1397" xr:uid="{00000000-0005-0000-0000-000075050000}"/>
    <cellStyle name="Финансовый 2 4 2 2 10" xfId="1398" xr:uid="{00000000-0005-0000-0000-000076050000}"/>
    <cellStyle name="Финансовый 2 4 2 2 11" xfId="1399" xr:uid="{00000000-0005-0000-0000-000077050000}"/>
    <cellStyle name="Финансовый 2 4 2 2 12" xfId="1400" xr:uid="{00000000-0005-0000-0000-000078050000}"/>
    <cellStyle name="Финансовый 2 4 2 2 13" xfId="1401" xr:uid="{00000000-0005-0000-0000-000079050000}"/>
    <cellStyle name="Финансовый 2 4 2 2 2" xfId="1402" xr:uid="{00000000-0005-0000-0000-00007A050000}"/>
    <cellStyle name="Финансовый 2 4 2 2 2 2" xfId="1403" xr:uid="{00000000-0005-0000-0000-00007B050000}"/>
    <cellStyle name="Финансовый 2 4 2 2 2 2 2" xfId="1404" xr:uid="{00000000-0005-0000-0000-00007C050000}"/>
    <cellStyle name="Финансовый 2 4 2 2 2 2 2 2" xfId="1405" xr:uid="{00000000-0005-0000-0000-00007D050000}"/>
    <cellStyle name="Финансовый 2 4 2 2 2 2 2 2 2" xfId="1406" xr:uid="{00000000-0005-0000-0000-00007E050000}"/>
    <cellStyle name="Финансовый 2 4 2 2 2 2 2 2 3" xfId="1407" xr:uid="{00000000-0005-0000-0000-00007F050000}"/>
    <cellStyle name="Финансовый 2 4 2 2 2 2 2 3" xfId="1408" xr:uid="{00000000-0005-0000-0000-000080050000}"/>
    <cellStyle name="Финансовый 2 4 2 2 2 2 2 4" xfId="1409" xr:uid="{00000000-0005-0000-0000-000081050000}"/>
    <cellStyle name="Финансовый 2 4 2 2 2 2 3" xfId="1410" xr:uid="{00000000-0005-0000-0000-000082050000}"/>
    <cellStyle name="Финансовый 2 4 2 2 2 2 3 2" xfId="1411" xr:uid="{00000000-0005-0000-0000-000083050000}"/>
    <cellStyle name="Финансовый 2 4 2 2 2 2 3 3" xfId="1412" xr:uid="{00000000-0005-0000-0000-000084050000}"/>
    <cellStyle name="Финансовый 2 4 2 2 2 2 4" xfId="1413" xr:uid="{00000000-0005-0000-0000-000085050000}"/>
    <cellStyle name="Финансовый 2 4 2 2 2 2 5" xfId="1414" xr:uid="{00000000-0005-0000-0000-000086050000}"/>
    <cellStyle name="Финансовый 2 4 2 2 2 3" xfId="1415" xr:uid="{00000000-0005-0000-0000-000087050000}"/>
    <cellStyle name="Финансовый 2 4 2 2 2 3 2" xfId="1416" xr:uid="{00000000-0005-0000-0000-000088050000}"/>
    <cellStyle name="Финансовый 2 4 2 2 2 3 2 2" xfId="1417" xr:uid="{00000000-0005-0000-0000-000089050000}"/>
    <cellStyle name="Финансовый 2 4 2 2 2 3 2 2 2" xfId="1418" xr:uid="{00000000-0005-0000-0000-00008A050000}"/>
    <cellStyle name="Финансовый 2 4 2 2 2 3 2 2 3" xfId="1419" xr:uid="{00000000-0005-0000-0000-00008B050000}"/>
    <cellStyle name="Финансовый 2 4 2 2 2 3 2 3" xfId="1420" xr:uid="{00000000-0005-0000-0000-00008C050000}"/>
    <cellStyle name="Финансовый 2 4 2 2 2 3 2 4" xfId="1421" xr:uid="{00000000-0005-0000-0000-00008D050000}"/>
    <cellStyle name="Финансовый 2 4 2 2 2 3 3" xfId="1422" xr:uid="{00000000-0005-0000-0000-00008E050000}"/>
    <cellStyle name="Финансовый 2 4 2 2 2 3 3 2" xfId="1423" xr:uid="{00000000-0005-0000-0000-00008F050000}"/>
    <cellStyle name="Финансовый 2 4 2 2 2 3 3 3" xfId="1424" xr:uid="{00000000-0005-0000-0000-000090050000}"/>
    <cellStyle name="Финансовый 2 4 2 2 2 3 4" xfId="1425" xr:uid="{00000000-0005-0000-0000-000091050000}"/>
    <cellStyle name="Финансовый 2 4 2 2 2 3 5" xfId="1426" xr:uid="{00000000-0005-0000-0000-000092050000}"/>
    <cellStyle name="Финансовый 2 4 2 2 2 4" xfId="1427" xr:uid="{00000000-0005-0000-0000-000093050000}"/>
    <cellStyle name="Финансовый 2 4 2 2 2 4 2" xfId="1428" xr:uid="{00000000-0005-0000-0000-000094050000}"/>
    <cellStyle name="Финансовый 2 4 2 2 2 4 2 2" xfId="1429" xr:uid="{00000000-0005-0000-0000-000095050000}"/>
    <cellStyle name="Финансовый 2 4 2 2 2 4 2 3" xfId="1430" xr:uid="{00000000-0005-0000-0000-000096050000}"/>
    <cellStyle name="Финансовый 2 4 2 2 2 4 3" xfId="1431" xr:uid="{00000000-0005-0000-0000-000097050000}"/>
    <cellStyle name="Финансовый 2 4 2 2 2 4 4" xfId="1432" xr:uid="{00000000-0005-0000-0000-000098050000}"/>
    <cellStyle name="Финансовый 2 4 2 2 2 5" xfId="1433" xr:uid="{00000000-0005-0000-0000-000099050000}"/>
    <cellStyle name="Финансовый 2 4 2 2 2 5 2" xfId="1434" xr:uid="{00000000-0005-0000-0000-00009A050000}"/>
    <cellStyle name="Финансовый 2 4 2 2 2 5 3" xfId="1435" xr:uid="{00000000-0005-0000-0000-00009B050000}"/>
    <cellStyle name="Финансовый 2 4 2 2 2 6" xfId="1436" xr:uid="{00000000-0005-0000-0000-00009C050000}"/>
    <cellStyle name="Финансовый 2 4 2 2 2 7" xfId="1437" xr:uid="{00000000-0005-0000-0000-00009D050000}"/>
    <cellStyle name="Финансовый 2 4 2 2 2 8" xfId="1438" xr:uid="{00000000-0005-0000-0000-00009E050000}"/>
    <cellStyle name="Финансовый 2 4 2 2 3" xfId="1439" xr:uid="{00000000-0005-0000-0000-00009F050000}"/>
    <cellStyle name="Финансовый 2 4 2 2 3 2" xfId="1440" xr:uid="{00000000-0005-0000-0000-0000A0050000}"/>
    <cellStyle name="Финансовый 2 4 2 2 3 2 2" xfId="1441" xr:uid="{00000000-0005-0000-0000-0000A1050000}"/>
    <cellStyle name="Финансовый 2 4 2 2 3 2 2 2" xfId="1442" xr:uid="{00000000-0005-0000-0000-0000A2050000}"/>
    <cellStyle name="Финансовый 2 4 2 2 3 2 2 3" xfId="1443" xr:uid="{00000000-0005-0000-0000-0000A3050000}"/>
    <cellStyle name="Финансовый 2 4 2 2 3 2 3" xfId="1444" xr:uid="{00000000-0005-0000-0000-0000A4050000}"/>
    <cellStyle name="Финансовый 2 4 2 2 3 2 4" xfId="1445" xr:uid="{00000000-0005-0000-0000-0000A5050000}"/>
    <cellStyle name="Финансовый 2 4 2 2 3 3" xfId="1446" xr:uid="{00000000-0005-0000-0000-0000A6050000}"/>
    <cellStyle name="Финансовый 2 4 2 2 3 3 2" xfId="1447" xr:uid="{00000000-0005-0000-0000-0000A7050000}"/>
    <cellStyle name="Финансовый 2 4 2 2 3 3 3" xfId="1448" xr:uid="{00000000-0005-0000-0000-0000A8050000}"/>
    <cellStyle name="Финансовый 2 4 2 2 3 4" xfId="1449" xr:uid="{00000000-0005-0000-0000-0000A9050000}"/>
    <cellStyle name="Финансовый 2 4 2 2 3 5" xfId="1450" xr:uid="{00000000-0005-0000-0000-0000AA050000}"/>
    <cellStyle name="Финансовый 2 4 2 2 4" xfId="1451" xr:uid="{00000000-0005-0000-0000-0000AB050000}"/>
    <cellStyle name="Финансовый 2 4 2 2 4 2" xfId="1452" xr:uid="{00000000-0005-0000-0000-0000AC050000}"/>
    <cellStyle name="Финансовый 2 4 2 2 4 2 2" xfId="1453" xr:uid="{00000000-0005-0000-0000-0000AD050000}"/>
    <cellStyle name="Финансовый 2 4 2 2 4 2 2 2" xfId="1454" xr:uid="{00000000-0005-0000-0000-0000AE050000}"/>
    <cellStyle name="Финансовый 2 4 2 2 4 2 2 3" xfId="1455" xr:uid="{00000000-0005-0000-0000-0000AF050000}"/>
    <cellStyle name="Финансовый 2 4 2 2 4 2 3" xfId="1456" xr:uid="{00000000-0005-0000-0000-0000B0050000}"/>
    <cellStyle name="Финансовый 2 4 2 2 4 2 4" xfId="1457" xr:uid="{00000000-0005-0000-0000-0000B1050000}"/>
    <cellStyle name="Финансовый 2 4 2 2 4 3" xfId="1458" xr:uid="{00000000-0005-0000-0000-0000B2050000}"/>
    <cellStyle name="Финансовый 2 4 2 2 4 3 2" xfId="1459" xr:uid="{00000000-0005-0000-0000-0000B3050000}"/>
    <cellStyle name="Финансовый 2 4 2 2 4 3 3" xfId="1460" xr:uid="{00000000-0005-0000-0000-0000B4050000}"/>
    <cellStyle name="Финансовый 2 4 2 2 4 4" xfId="1461" xr:uid="{00000000-0005-0000-0000-0000B5050000}"/>
    <cellStyle name="Финансовый 2 4 2 2 4 5" xfId="1462" xr:uid="{00000000-0005-0000-0000-0000B6050000}"/>
    <cellStyle name="Финансовый 2 4 2 2 5" xfId="1463" xr:uid="{00000000-0005-0000-0000-0000B7050000}"/>
    <cellStyle name="Финансовый 2 4 2 2 5 2" xfId="1464" xr:uid="{00000000-0005-0000-0000-0000B8050000}"/>
    <cellStyle name="Финансовый 2 4 2 2 5 2 2" xfId="1465" xr:uid="{00000000-0005-0000-0000-0000B9050000}"/>
    <cellStyle name="Финансовый 2 4 2 2 5 2 3" xfId="1466" xr:uid="{00000000-0005-0000-0000-0000BA050000}"/>
    <cellStyle name="Финансовый 2 4 2 2 5 3" xfId="1467" xr:uid="{00000000-0005-0000-0000-0000BB050000}"/>
    <cellStyle name="Финансовый 2 4 2 2 5 4" xfId="1468" xr:uid="{00000000-0005-0000-0000-0000BC050000}"/>
    <cellStyle name="Финансовый 2 4 2 2 6" xfId="1469" xr:uid="{00000000-0005-0000-0000-0000BD050000}"/>
    <cellStyle name="Финансовый 2 4 2 2 6 2" xfId="1470" xr:uid="{00000000-0005-0000-0000-0000BE050000}"/>
    <cellStyle name="Финансовый 2 4 2 2 6 2 2" xfId="1471" xr:uid="{00000000-0005-0000-0000-0000BF050000}"/>
    <cellStyle name="Финансовый 2 4 2 2 6 2 3" xfId="1472" xr:uid="{00000000-0005-0000-0000-0000C0050000}"/>
    <cellStyle name="Финансовый 2 4 2 2 6 3" xfId="1473" xr:uid="{00000000-0005-0000-0000-0000C1050000}"/>
    <cellStyle name="Финансовый 2 4 2 2 6 4" xfId="1474" xr:uid="{00000000-0005-0000-0000-0000C2050000}"/>
    <cellStyle name="Финансовый 2 4 2 2 7" xfId="1475" xr:uid="{00000000-0005-0000-0000-0000C3050000}"/>
    <cellStyle name="Финансовый 2 4 2 2 7 2" xfId="1476" xr:uid="{00000000-0005-0000-0000-0000C4050000}"/>
    <cellStyle name="Финансовый 2 4 2 2 7 2 2" xfId="1477" xr:uid="{00000000-0005-0000-0000-0000C5050000}"/>
    <cellStyle name="Финансовый 2 4 2 2 7 2 3" xfId="1478" xr:uid="{00000000-0005-0000-0000-0000C6050000}"/>
    <cellStyle name="Финансовый 2 4 2 2 7 3" xfId="1479" xr:uid="{00000000-0005-0000-0000-0000C7050000}"/>
    <cellStyle name="Финансовый 2 4 2 2 7 4" xfId="1480" xr:uid="{00000000-0005-0000-0000-0000C8050000}"/>
    <cellStyle name="Финансовый 2 4 2 2 8" xfId="1481" xr:uid="{00000000-0005-0000-0000-0000C9050000}"/>
    <cellStyle name="Финансовый 2 4 2 2 8 2" xfId="1482" xr:uid="{00000000-0005-0000-0000-0000CA050000}"/>
    <cellStyle name="Финансовый 2 4 2 2 8 2 2" xfId="1483" xr:uid="{00000000-0005-0000-0000-0000CB050000}"/>
    <cellStyle name="Финансовый 2 4 2 2 8 2 3" xfId="1484" xr:uid="{00000000-0005-0000-0000-0000CC050000}"/>
    <cellStyle name="Финансовый 2 4 2 2 8 3" xfId="1485" xr:uid="{00000000-0005-0000-0000-0000CD050000}"/>
    <cellStyle name="Финансовый 2 4 2 2 8 4" xfId="1486" xr:uid="{00000000-0005-0000-0000-0000CE050000}"/>
    <cellStyle name="Финансовый 2 4 2 2 9" xfId="1487" xr:uid="{00000000-0005-0000-0000-0000CF050000}"/>
    <cellStyle name="Финансовый 2 4 2 2 9 2" xfId="1488" xr:uid="{00000000-0005-0000-0000-0000D0050000}"/>
    <cellStyle name="Финансовый 2 4 2 2 9 3" xfId="1489" xr:uid="{00000000-0005-0000-0000-0000D1050000}"/>
    <cellStyle name="Финансовый 2 4 2 3" xfId="1490" xr:uid="{00000000-0005-0000-0000-0000D2050000}"/>
    <cellStyle name="Финансовый 2 4 2 3 2" xfId="1491" xr:uid="{00000000-0005-0000-0000-0000D3050000}"/>
    <cellStyle name="Финансовый 2 4 2 3 2 2" xfId="1492" xr:uid="{00000000-0005-0000-0000-0000D4050000}"/>
    <cellStyle name="Финансовый 2 4 2 3 2 2 2" xfId="1493" xr:uid="{00000000-0005-0000-0000-0000D5050000}"/>
    <cellStyle name="Финансовый 2 4 2 3 2 2 2 2" xfId="1494" xr:uid="{00000000-0005-0000-0000-0000D6050000}"/>
    <cellStyle name="Финансовый 2 4 2 3 2 2 2 3" xfId="1495" xr:uid="{00000000-0005-0000-0000-0000D7050000}"/>
    <cellStyle name="Финансовый 2 4 2 3 2 2 3" xfId="1496" xr:uid="{00000000-0005-0000-0000-0000D8050000}"/>
    <cellStyle name="Финансовый 2 4 2 3 2 2 4" xfId="1497" xr:uid="{00000000-0005-0000-0000-0000D9050000}"/>
    <cellStyle name="Финансовый 2 4 2 3 2 3" xfId="1498" xr:uid="{00000000-0005-0000-0000-0000DA050000}"/>
    <cellStyle name="Финансовый 2 4 2 3 2 3 2" xfId="1499" xr:uid="{00000000-0005-0000-0000-0000DB050000}"/>
    <cellStyle name="Финансовый 2 4 2 3 2 3 3" xfId="1500" xr:uid="{00000000-0005-0000-0000-0000DC050000}"/>
    <cellStyle name="Финансовый 2 4 2 3 2 4" xfId="1501" xr:uid="{00000000-0005-0000-0000-0000DD050000}"/>
    <cellStyle name="Финансовый 2 4 2 3 2 5" xfId="1502" xr:uid="{00000000-0005-0000-0000-0000DE050000}"/>
    <cellStyle name="Финансовый 2 4 2 3 3" xfId="1503" xr:uid="{00000000-0005-0000-0000-0000DF050000}"/>
    <cellStyle name="Финансовый 2 4 2 3 3 2" xfId="1504" xr:uid="{00000000-0005-0000-0000-0000E0050000}"/>
    <cellStyle name="Финансовый 2 4 2 3 3 2 2" xfId="1505" xr:uid="{00000000-0005-0000-0000-0000E1050000}"/>
    <cellStyle name="Финансовый 2 4 2 3 3 2 2 2" xfId="1506" xr:uid="{00000000-0005-0000-0000-0000E2050000}"/>
    <cellStyle name="Финансовый 2 4 2 3 3 2 2 3" xfId="1507" xr:uid="{00000000-0005-0000-0000-0000E3050000}"/>
    <cellStyle name="Финансовый 2 4 2 3 3 2 3" xfId="1508" xr:uid="{00000000-0005-0000-0000-0000E4050000}"/>
    <cellStyle name="Финансовый 2 4 2 3 3 2 4" xfId="1509" xr:uid="{00000000-0005-0000-0000-0000E5050000}"/>
    <cellStyle name="Финансовый 2 4 2 3 3 3" xfId="1510" xr:uid="{00000000-0005-0000-0000-0000E6050000}"/>
    <cellStyle name="Финансовый 2 4 2 3 3 3 2" xfId="1511" xr:uid="{00000000-0005-0000-0000-0000E7050000}"/>
    <cellStyle name="Финансовый 2 4 2 3 3 3 3" xfId="1512" xr:uid="{00000000-0005-0000-0000-0000E8050000}"/>
    <cellStyle name="Финансовый 2 4 2 3 3 4" xfId="1513" xr:uid="{00000000-0005-0000-0000-0000E9050000}"/>
    <cellStyle name="Финансовый 2 4 2 3 3 5" xfId="1514" xr:uid="{00000000-0005-0000-0000-0000EA050000}"/>
    <cellStyle name="Финансовый 2 4 2 3 4" xfId="1515" xr:uid="{00000000-0005-0000-0000-0000EB050000}"/>
    <cellStyle name="Финансовый 2 4 2 3 4 2" xfId="1516" xr:uid="{00000000-0005-0000-0000-0000EC050000}"/>
    <cellStyle name="Финансовый 2 4 2 3 4 2 2" xfId="1517" xr:uid="{00000000-0005-0000-0000-0000ED050000}"/>
    <cellStyle name="Финансовый 2 4 2 3 4 2 3" xfId="1518" xr:uid="{00000000-0005-0000-0000-0000EE050000}"/>
    <cellStyle name="Финансовый 2 4 2 3 4 3" xfId="1519" xr:uid="{00000000-0005-0000-0000-0000EF050000}"/>
    <cellStyle name="Финансовый 2 4 2 3 4 4" xfId="1520" xr:uid="{00000000-0005-0000-0000-0000F0050000}"/>
    <cellStyle name="Финансовый 2 4 2 3 5" xfId="1521" xr:uid="{00000000-0005-0000-0000-0000F1050000}"/>
    <cellStyle name="Финансовый 2 4 2 3 5 2" xfId="1522" xr:uid="{00000000-0005-0000-0000-0000F2050000}"/>
    <cellStyle name="Финансовый 2 4 2 3 5 3" xfId="1523" xr:uid="{00000000-0005-0000-0000-0000F3050000}"/>
    <cellStyle name="Финансовый 2 4 2 3 6" xfId="1524" xr:uid="{00000000-0005-0000-0000-0000F4050000}"/>
    <cellStyle name="Финансовый 2 4 2 3 7" xfId="1525" xr:uid="{00000000-0005-0000-0000-0000F5050000}"/>
    <cellStyle name="Финансовый 2 4 2 3 8" xfId="1526" xr:uid="{00000000-0005-0000-0000-0000F6050000}"/>
    <cellStyle name="Финансовый 2 4 2 4" xfId="1527" xr:uid="{00000000-0005-0000-0000-0000F7050000}"/>
    <cellStyle name="Финансовый 2 4 2 4 2" xfId="1528" xr:uid="{00000000-0005-0000-0000-0000F8050000}"/>
    <cellStyle name="Финансовый 2 4 2 4 2 2" xfId="1529" xr:uid="{00000000-0005-0000-0000-0000F9050000}"/>
    <cellStyle name="Финансовый 2 4 2 4 2 2 2" xfId="1530" xr:uid="{00000000-0005-0000-0000-0000FA050000}"/>
    <cellStyle name="Финансовый 2 4 2 4 2 2 3" xfId="1531" xr:uid="{00000000-0005-0000-0000-0000FB050000}"/>
    <cellStyle name="Финансовый 2 4 2 4 2 3" xfId="1532" xr:uid="{00000000-0005-0000-0000-0000FC050000}"/>
    <cellStyle name="Финансовый 2 4 2 4 2 4" xfId="1533" xr:uid="{00000000-0005-0000-0000-0000FD050000}"/>
    <cellStyle name="Финансовый 2 4 2 4 3" xfId="1534" xr:uid="{00000000-0005-0000-0000-0000FE050000}"/>
    <cellStyle name="Финансовый 2 4 2 4 3 2" xfId="1535" xr:uid="{00000000-0005-0000-0000-0000FF050000}"/>
    <cellStyle name="Финансовый 2 4 2 4 3 3" xfId="1536" xr:uid="{00000000-0005-0000-0000-000000060000}"/>
    <cellStyle name="Финансовый 2 4 2 4 4" xfId="1537" xr:uid="{00000000-0005-0000-0000-000001060000}"/>
    <cellStyle name="Финансовый 2 4 2 4 5" xfId="1538" xr:uid="{00000000-0005-0000-0000-000002060000}"/>
    <cellStyle name="Финансовый 2 4 2 5" xfId="1539" xr:uid="{00000000-0005-0000-0000-000003060000}"/>
    <cellStyle name="Финансовый 2 4 2 5 2" xfId="1540" xr:uid="{00000000-0005-0000-0000-000004060000}"/>
    <cellStyle name="Финансовый 2 4 2 5 2 2" xfId="1541" xr:uid="{00000000-0005-0000-0000-000005060000}"/>
    <cellStyle name="Финансовый 2 4 2 5 2 2 2" xfId="1542" xr:uid="{00000000-0005-0000-0000-000006060000}"/>
    <cellStyle name="Финансовый 2 4 2 5 2 2 3" xfId="1543" xr:uid="{00000000-0005-0000-0000-000007060000}"/>
    <cellStyle name="Финансовый 2 4 2 5 2 3" xfId="1544" xr:uid="{00000000-0005-0000-0000-000008060000}"/>
    <cellStyle name="Финансовый 2 4 2 5 2 4" xfId="1545" xr:uid="{00000000-0005-0000-0000-000009060000}"/>
    <cellStyle name="Финансовый 2 4 2 5 3" xfId="1546" xr:uid="{00000000-0005-0000-0000-00000A060000}"/>
    <cellStyle name="Финансовый 2 4 2 5 3 2" xfId="1547" xr:uid="{00000000-0005-0000-0000-00000B060000}"/>
    <cellStyle name="Финансовый 2 4 2 5 3 3" xfId="1548" xr:uid="{00000000-0005-0000-0000-00000C060000}"/>
    <cellStyle name="Финансовый 2 4 2 5 4" xfId="1549" xr:uid="{00000000-0005-0000-0000-00000D060000}"/>
    <cellStyle name="Финансовый 2 4 2 5 5" xfId="1550" xr:uid="{00000000-0005-0000-0000-00000E060000}"/>
    <cellStyle name="Финансовый 2 4 2 6" xfId="1551" xr:uid="{00000000-0005-0000-0000-00000F060000}"/>
    <cellStyle name="Финансовый 2 4 2 6 2" xfId="1552" xr:uid="{00000000-0005-0000-0000-000010060000}"/>
    <cellStyle name="Финансовый 2 4 2 6 2 2" xfId="1553" xr:uid="{00000000-0005-0000-0000-000011060000}"/>
    <cellStyle name="Финансовый 2 4 2 6 2 3" xfId="1554" xr:uid="{00000000-0005-0000-0000-000012060000}"/>
    <cellStyle name="Финансовый 2 4 2 6 3" xfId="1555" xr:uid="{00000000-0005-0000-0000-000013060000}"/>
    <cellStyle name="Финансовый 2 4 2 6 4" xfId="1556" xr:uid="{00000000-0005-0000-0000-000014060000}"/>
    <cellStyle name="Финансовый 2 4 2 7" xfId="1557" xr:uid="{00000000-0005-0000-0000-000015060000}"/>
    <cellStyle name="Финансовый 2 4 2 7 2" xfId="1558" xr:uid="{00000000-0005-0000-0000-000016060000}"/>
    <cellStyle name="Финансовый 2 4 2 7 2 2" xfId="1559" xr:uid="{00000000-0005-0000-0000-000017060000}"/>
    <cellStyle name="Финансовый 2 4 2 7 2 3" xfId="1560" xr:uid="{00000000-0005-0000-0000-000018060000}"/>
    <cellStyle name="Финансовый 2 4 2 7 3" xfId="1561" xr:uid="{00000000-0005-0000-0000-000019060000}"/>
    <cellStyle name="Финансовый 2 4 2 7 4" xfId="1562" xr:uid="{00000000-0005-0000-0000-00001A060000}"/>
    <cellStyle name="Финансовый 2 4 2 8" xfId="1563" xr:uid="{00000000-0005-0000-0000-00001B060000}"/>
    <cellStyle name="Финансовый 2 4 2 8 2" xfId="1564" xr:uid="{00000000-0005-0000-0000-00001C060000}"/>
    <cellStyle name="Финансовый 2 4 2 8 2 2" xfId="1565" xr:uid="{00000000-0005-0000-0000-00001D060000}"/>
    <cellStyle name="Финансовый 2 4 2 8 2 3" xfId="1566" xr:uid="{00000000-0005-0000-0000-00001E060000}"/>
    <cellStyle name="Финансовый 2 4 2 8 3" xfId="1567" xr:uid="{00000000-0005-0000-0000-00001F060000}"/>
    <cellStyle name="Финансовый 2 4 2 8 4" xfId="1568" xr:uid="{00000000-0005-0000-0000-000020060000}"/>
    <cellStyle name="Финансовый 2 4 2 9" xfId="1569" xr:uid="{00000000-0005-0000-0000-000021060000}"/>
    <cellStyle name="Финансовый 2 4 2 9 2" xfId="1570" xr:uid="{00000000-0005-0000-0000-000022060000}"/>
    <cellStyle name="Финансовый 2 4 2 9 2 2" xfId="1571" xr:uid="{00000000-0005-0000-0000-000023060000}"/>
    <cellStyle name="Финансовый 2 4 2 9 2 3" xfId="1572" xr:uid="{00000000-0005-0000-0000-000024060000}"/>
    <cellStyle name="Финансовый 2 4 2 9 3" xfId="1573" xr:uid="{00000000-0005-0000-0000-000025060000}"/>
    <cellStyle name="Финансовый 2 4 2 9 4" xfId="1574" xr:uid="{00000000-0005-0000-0000-000026060000}"/>
    <cellStyle name="Финансовый 2 4 3" xfId="1575" xr:uid="{00000000-0005-0000-0000-000027060000}"/>
    <cellStyle name="Финансовый 2 4 3 10" xfId="1576" xr:uid="{00000000-0005-0000-0000-000028060000}"/>
    <cellStyle name="Финансовый 2 4 3 11" xfId="1577" xr:uid="{00000000-0005-0000-0000-000029060000}"/>
    <cellStyle name="Финансовый 2 4 3 12" xfId="1578" xr:uid="{00000000-0005-0000-0000-00002A060000}"/>
    <cellStyle name="Финансовый 2 4 3 13" xfId="1579" xr:uid="{00000000-0005-0000-0000-00002B060000}"/>
    <cellStyle name="Финансовый 2 4 3 2" xfId="1580" xr:uid="{00000000-0005-0000-0000-00002C060000}"/>
    <cellStyle name="Финансовый 2 4 3 2 2" xfId="1581" xr:uid="{00000000-0005-0000-0000-00002D060000}"/>
    <cellStyle name="Финансовый 2 4 3 2 2 2" xfId="1582" xr:uid="{00000000-0005-0000-0000-00002E060000}"/>
    <cellStyle name="Финансовый 2 4 3 2 2 2 2" xfId="1583" xr:uid="{00000000-0005-0000-0000-00002F060000}"/>
    <cellStyle name="Финансовый 2 4 3 2 2 2 2 2" xfId="1584" xr:uid="{00000000-0005-0000-0000-000030060000}"/>
    <cellStyle name="Финансовый 2 4 3 2 2 2 2 3" xfId="1585" xr:uid="{00000000-0005-0000-0000-000031060000}"/>
    <cellStyle name="Финансовый 2 4 3 2 2 2 3" xfId="1586" xr:uid="{00000000-0005-0000-0000-000032060000}"/>
    <cellStyle name="Финансовый 2 4 3 2 2 2 4" xfId="1587" xr:uid="{00000000-0005-0000-0000-000033060000}"/>
    <cellStyle name="Финансовый 2 4 3 2 2 3" xfId="1588" xr:uid="{00000000-0005-0000-0000-000034060000}"/>
    <cellStyle name="Финансовый 2 4 3 2 2 3 2" xfId="1589" xr:uid="{00000000-0005-0000-0000-000035060000}"/>
    <cellStyle name="Финансовый 2 4 3 2 2 3 3" xfId="1590" xr:uid="{00000000-0005-0000-0000-000036060000}"/>
    <cellStyle name="Финансовый 2 4 3 2 2 4" xfId="1591" xr:uid="{00000000-0005-0000-0000-000037060000}"/>
    <cellStyle name="Финансовый 2 4 3 2 2 5" xfId="1592" xr:uid="{00000000-0005-0000-0000-000038060000}"/>
    <cellStyle name="Финансовый 2 4 3 2 3" xfId="1593" xr:uid="{00000000-0005-0000-0000-000039060000}"/>
    <cellStyle name="Финансовый 2 4 3 2 3 2" xfId="1594" xr:uid="{00000000-0005-0000-0000-00003A060000}"/>
    <cellStyle name="Финансовый 2 4 3 2 3 2 2" xfId="1595" xr:uid="{00000000-0005-0000-0000-00003B060000}"/>
    <cellStyle name="Финансовый 2 4 3 2 3 2 2 2" xfId="1596" xr:uid="{00000000-0005-0000-0000-00003C060000}"/>
    <cellStyle name="Финансовый 2 4 3 2 3 2 2 3" xfId="1597" xr:uid="{00000000-0005-0000-0000-00003D060000}"/>
    <cellStyle name="Финансовый 2 4 3 2 3 2 3" xfId="1598" xr:uid="{00000000-0005-0000-0000-00003E060000}"/>
    <cellStyle name="Финансовый 2 4 3 2 3 2 4" xfId="1599" xr:uid="{00000000-0005-0000-0000-00003F060000}"/>
    <cellStyle name="Финансовый 2 4 3 2 3 3" xfId="1600" xr:uid="{00000000-0005-0000-0000-000040060000}"/>
    <cellStyle name="Финансовый 2 4 3 2 3 3 2" xfId="1601" xr:uid="{00000000-0005-0000-0000-000041060000}"/>
    <cellStyle name="Финансовый 2 4 3 2 3 3 3" xfId="1602" xr:uid="{00000000-0005-0000-0000-000042060000}"/>
    <cellStyle name="Финансовый 2 4 3 2 3 4" xfId="1603" xr:uid="{00000000-0005-0000-0000-000043060000}"/>
    <cellStyle name="Финансовый 2 4 3 2 3 5" xfId="1604" xr:uid="{00000000-0005-0000-0000-000044060000}"/>
    <cellStyle name="Финансовый 2 4 3 2 4" xfId="1605" xr:uid="{00000000-0005-0000-0000-000045060000}"/>
    <cellStyle name="Финансовый 2 4 3 2 4 2" xfId="1606" xr:uid="{00000000-0005-0000-0000-000046060000}"/>
    <cellStyle name="Финансовый 2 4 3 2 4 2 2" xfId="1607" xr:uid="{00000000-0005-0000-0000-000047060000}"/>
    <cellStyle name="Финансовый 2 4 3 2 4 2 3" xfId="1608" xr:uid="{00000000-0005-0000-0000-000048060000}"/>
    <cellStyle name="Финансовый 2 4 3 2 4 3" xfId="1609" xr:uid="{00000000-0005-0000-0000-000049060000}"/>
    <cellStyle name="Финансовый 2 4 3 2 4 4" xfId="1610" xr:uid="{00000000-0005-0000-0000-00004A060000}"/>
    <cellStyle name="Финансовый 2 4 3 2 5" xfId="1611" xr:uid="{00000000-0005-0000-0000-00004B060000}"/>
    <cellStyle name="Финансовый 2 4 3 2 5 2" xfId="1612" xr:uid="{00000000-0005-0000-0000-00004C060000}"/>
    <cellStyle name="Финансовый 2 4 3 2 5 3" xfId="1613" xr:uid="{00000000-0005-0000-0000-00004D060000}"/>
    <cellStyle name="Финансовый 2 4 3 2 6" xfId="1614" xr:uid="{00000000-0005-0000-0000-00004E060000}"/>
    <cellStyle name="Финансовый 2 4 3 2 7" xfId="1615" xr:uid="{00000000-0005-0000-0000-00004F060000}"/>
    <cellStyle name="Финансовый 2 4 3 2 8" xfId="1616" xr:uid="{00000000-0005-0000-0000-000050060000}"/>
    <cellStyle name="Финансовый 2 4 3 3" xfId="1617" xr:uid="{00000000-0005-0000-0000-000051060000}"/>
    <cellStyle name="Финансовый 2 4 3 3 2" xfId="1618" xr:uid="{00000000-0005-0000-0000-000052060000}"/>
    <cellStyle name="Финансовый 2 4 3 3 2 2" xfId="1619" xr:uid="{00000000-0005-0000-0000-000053060000}"/>
    <cellStyle name="Финансовый 2 4 3 3 2 2 2" xfId="1620" xr:uid="{00000000-0005-0000-0000-000054060000}"/>
    <cellStyle name="Финансовый 2 4 3 3 2 2 3" xfId="1621" xr:uid="{00000000-0005-0000-0000-000055060000}"/>
    <cellStyle name="Финансовый 2 4 3 3 2 3" xfId="1622" xr:uid="{00000000-0005-0000-0000-000056060000}"/>
    <cellStyle name="Финансовый 2 4 3 3 2 4" xfId="1623" xr:uid="{00000000-0005-0000-0000-000057060000}"/>
    <cellStyle name="Финансовый 2 4 3 3 3" xfId="1624" xr:uid="{00000000-0005-0000-0000-000058060000}"/>
    <cellStyle name="Финансовый 2 4 3 3 3 2" xfId="1625" xr:uid="{00000000-0005-0000-0000-000059060000}"/>
    <cellStyle name="Финансовый 2 4 3 3 3 3" xfId="1626" xr:uid="{00000000-0005-0000-0000-00005A060000}"/>
    <cellStyle name="Финансовый 2 4 3 3 4" xfId="1627" xr:uid="{00000000-0005-0000-0000-00005B060000}"/>
    <cellStyle name="Финансовый 2 4 3 3 5" xfId="1628" xr:uid="{00000000-0005-0000-0000-00005C060000}"/>
    <cellStyle name="Финансовый 2 4 3 4" xfId="1629" xr:uid="{00000000-0005-0000-0000-00005D060000}"/>
    <cellStyle name="Финансовый 2 4 3 4 2" xfId="1630" xr:uid="{00000000-0005-0000-0000-00005E060000}"/>
    <cellStyle name="Финансовый 2 4 3 4 2 2" xfId="1631" xr:uid="{00000000-0005-0000-0000-00005F060000}"/>
    <cellStyle name="Финансовый 2 4 3 4 2 2 2" xfId="1632" xr:uid="{00000000-0005-0000-0000-000060060000}"/>
    <cellStyle name="Финансовый 2 4 3 4 2 2 3" xfId="1633" xr:uid="{00000000-0005-0000-0000-000061060000}"/>
    <cellStyle name="Финансовый 2 4 3 4 2 3" xfId="1634" xr:uid="{00000000-0005-0000-0000-000062060000}"/>
    <cellStyle name="Финансовый 2 4 3 4 2 4" xfId="1635" xr:uid="{00000000-0005-0000-0000-000063060000}"/>
    <cellStyle name="Финансовый 2 4 3 4 3" xfId="1636" xr:uid="{00000000-0005-0000-0000-000064060000}"/>
    <cellStyle name="Финансовый 2 4 3 4 3 2" xfId="1637" xr:uid="{00000000-0005-0000-0000-000065060000}"/>
    <cellStyle name="Финансовый 2 4 3 4 3 3" xfId="1638" xr:uid="{00000000-0005-0000-0000-000066060000}"/>
    <cellStyle name="Финансовый 2 4 3 4 4" xfId="1639" xr:uid="{00000000-0005-0000-0000-000067060000}"/>
    <cellStyle name="Финансовый 2 4 3 4 5" xfId="1640" xr:uid="{00000000-0005-0000-0000-000068060000}"/>
    <cellStyle name="Финансовый 2 4 3 5" xfId="1641" xr:uid="{00000000-0005-0000-0000-000069060000}"/>
    <cellStyle name="Финансовый 2 4 3 5 2" xfId="1642" xr:uid="{00000000-0005-0000-0000-00006A060000}"/>
    <cellStyle name="Финансовый 2 4 3 5 2 2" xfId="1643" xr:uid="{00000000-0005-0000-0000-00006B060000}"/>
    <cellStyle name="Финансовый 2 4 3 5 2 3" xfId="1644" xr:uid="{00000000-0005-0000-0000-00006C060000}"/>
    <cellStyle name="Финансовый 2 4 3 5 3" xfId="1645" xr:uid="{00000000-0005-0000-0000-00006D060000}"/>
    <cellStyle name="Финансовый 2 4 3 5 4" xfId="1646" xr:uid="{00000000-0005-0000-0000-00006E060000}"/>
    <cellStyle name="Финансовый 2 4 3 6" xfId="1647" xr:uid="{00000000-0005-0000-0000-00006F060000}"/>
    <cellStyle name="Финансовый 2 4 3 6 2" xfId="1648" xr:uid="{00000000-0005-0000-0000-000070060000}"/>
    <cellStyle name="Финансовый 2 4 3 6 2 2" xfId="1649" xr:uid="{00000000-0005-0000-0000-000071060000}"/>
    <cellStyle name="Финансовый 2 4 3 6 2 3" xfId="1650" xr:uid="{00000000-0005-0000-0000-000072060000}"/>
    <cellStyle name="Финансовый 2 4 3 6 3" xfId="1651" xr:uid="{00000000-0005-0000-0000-000073060000}"/>
    <cellStyle name="Финансовый 2 4 3 6 4" xfId="1652" xr:uid="{00000000-0005-0000-0000-000074060000}"/>
    <cellStyle name="Финансовый 2 4 3 7" xfId="1653" xr:uid="{00000000-0005-0000-0000-000075060000}"/>
    <cellStyle name="Финансовый 2 4 3 7 2" xfId="1654" xr:uid="{00000000-0005-0000-0000-000076060000}"/>
    <cellStyle name="Финансовый 2 4 3 7 2 2" xfId="1655" xr:uid="{00000000-0005-0000-0000-000077060000}"/>
    <cellStyle name="Финансовый 2 4 3 7 2 3" xfId="1656" xr:uid="{00000000-0005-0000-0000-000078060000}"/>
    <cellStyle name="Финансовый 2 4 3 7 3" xfId="1657" xr:uid="{00000000-0005-0000-0000-000079060000}"/>
    <cellStyle name="Финансовый 2 4 3 7 4" xfId="1658" xr:uid="{00000000-0005-0000-0000-00007A060000}"/>
    <cellStyle name="Финансовый 2 4 3 8" xfId="1659" xr:uid="{00000000-0005-0000-0000-00007B060000}"/>
    <cellStyle name="Финансовый 2 4 3 8 2" xfId="1660" xr:uid="{00000000-0005-0000-0000-00007C060000}"/>
    <cellStyle name="Финансовый 2 4 3 8 2 2" xfId="1661" xr:uid="{00000000-0005-0000-0000-00007D060000}"/>
    <cellStyle name="Финансовый 2 4 3 8 2 3" xfId="1662" xr:uid="{00000000-0005-0000-0000-00007E060000}"/>
    <cellStyle name="Финансовый 2 4 3 8 3" xfId="1663" xr:uid="{00000000-0005-0000-0000-00007F060000}"/>
    <cellStyle name="Финансовый 2 4 3 8 4" xfId="1664" xr:uid="{00000000-0005-0000-0000-000080060000}"/>
    <cellStyle name="Финансовый 2 4 3 9" xfId="1665" xr:uid="{00000000-0005-0000-0000-000081060000}"/>
    <cellStyle name="Финансовый 2 4 3 9 2" xfId="1666" xr:uid="{00000000-0005-0000-0000-000082060000}"/>
    <cellStyle name="Финансовый 2 4 3 9 3" xfId="1667" xr:uid="{00000000-0005-0000-0000-000083060000}"/>
    <cellStyle name="Финансовый 2 4 4" xfId="1668" xr:uid="{00000000-0005-0000-0000-000084060000}"/>
    <cellStyle name="Финансовый 2 4 4 10" xfId="1669" xr:uid="{00000000-0005-0000-0000-000085060000}"/>
    <cellStyle name="Финансовый 2 4 4 11" xfId="1670" xr:uid="{00000000-0005-0000-0000-000086060000}"/>
    <cellStyle name="Финансовый 2 4 4 12" xfId="1671" xr:uid="{00000000-0005-0000-0000-000087060000}"/>
    <cellStyle name="Финансовый 2 4 4 13" xfId="1672" xr:uid="{00000000-0005-0000-0000-000088060000}"/>
    <cellStyle name="Финансовый 2 4 4 2" xfId="1673" xr:uid="{00000000-0005-0000-0000-000089060000}"/>
    <cellStyle name="Финансовый 2 4 4 2 2" xfId="1674" xr:uid="{00000000-0005-0000-0000-00008A060000}"/>
    <cellStyle name="Финансовый 2 4 4 2 2 2" xfId="1675" xr:uid="{00000000-0005-0000-0000-00008B060000}"/>
    <cellStyle name="Финансовый 2 4 4 2 2 2 2" xfId="1676" xr:uid="{00000000-0005-0000-0000-00008C060000}"/>
    <cellStyle name="Финансовый 2 4 4 2 2 2 2 2" xfId="1677" xr:uid="{00000000-0005-0000-0000-00008D060000}"/>
    <cellStyle name="Финансовый 2 4 4 2 2 2 2 3" xfId="1678" xr:uid="{00000000-0005-0000-0000-00008E060000}"/>
    <cellStyle name="Финансовый 2 4 4 2 2 2 3" xfId="1679" xr:uid="{00000000-0005-0000-0000-00008F060000}"/>
    <cellStyle name="Финансовый 2 4 4 2 2 2 4" xfId="1680" xr:uid="{00000000-0005-0000-0000-000090060000}"/>
    <cellStyle name="Финансовый 2 4 4 2 2 3" xfId="1681" xr:uid="{00000000-0005-0000-0000-000091060000}"/>
    <cellStyle name="Финансовый 2 4 4 2 2 3 2" xfId="1682" xr:uid="{00000000-0005-0000-0000-000092060000}"/>
    <cellStyle name="Финансовый 2 4 4 2 2 3 3" xfId="1683" xr:uid="{00000000-0005-0000-0000-000093060000}"/>
    <cellStyle name="Финансовый 2 4 4 2 2 4" xfId="1684" xr:uid="{00000000-0005-0000-0000-000094060000}"/>
    <cellStyle name="Финансовый 2 4 4 2 2 5" xfId="1685" xr:uid="{00000000-0005-0000-0000-000095060000}"/>
    <cellStyle name="Финансовый 2 4 4 2 3" xfId="1686" xr:uid="{00000000-0005-0000-0000-000096060000}"/>
    <cellStyle name="Финансовый 2 4 4 2 3 2" xfId="1687" xr:uid="{00000000-0005-0000-0000-000097060000}"/>
    <cellStyle name="Финансовый 2 4 4 2 3 2 2" xfId="1688" xr:uid="{00000000-0005-0000-0000-000098060000}"/>
    <cellStyle name="Финансовый 2 4 4 2 3 2 2 2" xfId="1689" xr:uid="{00000000-0005-0000-0000-000099060000}"/>
    <cellStyle name="Финансовый 2 4 4 2 3 2 2 3" xfId="1690" xr:uid="{00000000-0005-0000-0000-00009A060000}"/>
    <cellStyle name="Финансовый 2 4 4 2 3 2 3" xfId="1691" xr:uid="{00000000-0005-0000-0000-00009B060000}"/>
    <cellStyle name="Финансовый 2 4 4 2 3 2 4" xfId="1692" xr:uid="{00000000-0005-0000-0000-00009C060000}"/>
    <cellStyle name="Финансовый 2 4 4 2 3 3" xfId="1693" xr:uid="{00000000-0005-0000-0000-00009D060000}"/>
    <cellStyle name="Финансовый 2 4 4 2 3 3 2" xfId="1694" xr:uid="{00000000-0005-0000-0000-00009E060000}"/>
    <cellStyle name="Финансовый 2 4 4 2 3 3 3" xfId="1695" xr:uid="{00000000-0005-0000-0000-00009F060000}"/>
    <cellStyle name="Финансовый 2 4 4 2 3 4" xfId="1696" xr:uid="{00000000-0005-0000-0000-0000A0060000}"/>
    <cellStyle name="Финансовый 2 4 4 2 3 5" xfId="1697" xr:uid="{00000000-0005-0000-0000-0000A1060000}"/>
    <cellStyle name="Финансовый 2 4 4 2 4" xfId="1698" xr:uid="{00000000-0005-0000-0000-0000A2060000}"/>
    <cellStyle name="Финансовый 2 4 4 2 4 2" xfId="1699" xr:uid="{00000000-0005-0000-0000-0000A3060000}"/>
    <cellStyle name="Финансовый 2 4 4 2 4 2 2" xfId="1700" xr:uid="{00000000-0005-0000-0000-0000A4060000}"/>
    <cellStyle name="Финансовый 2 4 4 2 4 2 3" xfId="1701" xr:uid="{00000000-0005-0000-0000-0000A5060000}"/>
    <cellStyle name="Финансовый 2 4 4 2 4 3" xfId="1702" xr:uid="{00000000-0005-0000-0000-0000A6060000}"/>
    <cellStyle name="Финансовый 2 4 4 2 4 4" xfId="1703" xr:uid="{00000000-0005-0000-0000-0000A7060000}"/>
    <cellStyle name="Финансовый 2 4 4 2 5" xfId="1704" xr:uid="{00000000-0005-0000-0000-0000A8060000}"/>
    <cellStyle name="Финансовый 2 4 4 2 5 2" xfId="1705" xr:uid="{00000000-0005-0000-0000-0000A9060000}"/>
    <cellStyle name="Финансовый 2 4 4 2 5 3" xfId="1706" xr:uid="{00000000-0005-0000-0000-0000AA060000}"/>
    <cellStyle name="Финансовый 2 4 4 2 6" xfId="1707" xr:uid="{00000000-0005-0000-0000-0000AB060000}"/>
    <cellStyle name="Финансовый 2 4 4 2 7" xfId="1708" xr:uid="{00000000-0005-0000-0000-0000AC060000}"/>
    <cellStyle name="Финансовый 2 4 4 2 8" xfId="1709" xr:uid="{00000000-0005-0000-0000-0000AD060000}"/>
    <cellStyle name="Финансовый 2 4 4 3" xfId="1710" xr:uid="{00000000-0005-0000-0000-0000AE060000}"/>
    <cellStyle name="Финансовый 2 4 4 3 2" xfId="1711" xr:uid="{00000000-0005-0000-0000-0000AF060000}"/>
    <cellStyle name="Финансовый 2 4 4 3 2 2" xfId="1712" xr:uid="{00000000-0005-0000-0000-0000B0060000}"/>
    <cellStyle name="Финансовый 2 4 4 3 2 2 2" xfId="1713" xr:uid="{00000000-0005-0000-0000-0000B1060000}"/>
    <cellStyle name="Финансовый 2 4 4 3 2 2 3" xfId="1714" xr:uid="{00000000-0005-0000-0000-0000B2060000}"/>
    <cellStyle name="Финансовый 2 4 4 3 2 3" xfId="1715" xr:uid="{00000000-0005-0000-0000-0000B3060000}"/>
    <cellStyle name="Финансовый 2 4 4 3 2 4" xfId="1716" xr:uid="{00000000-0005-0000-0000-0000B4060000}"/>
    <cellStyle name="Финансовый 2 4 4 3 3" xfId="1717" xr:uid="{00000000-0005-0000-0000-0000B5060000}"/>
    <cellStyle name="Финансовый 2 4 4 3 3 2" xfId="1718" xr:uid="{00000000-0005-0000-0000-0000B6060000}"/>
    <cellStyle name="Финансовый 2 4 4 3 3 3" xfId="1719" xr:uid="{00000000-0005-0000-0000-0000B7060000}"/>
    <cellStyle name="Финансовый 2 4 4 3 4" xfId="1720" xr:uid="{00000000-0005-0000-0000-0000B8060000}"/>
    <cellStyle name="Финансовый 2 4 4 3 5" xfId="1721" xr:uid="{00000000-0005-0000-0000-0000B9060000}"/>
    <cellStyle name="Финансовый 2 4 4 4" xfId="1722" xr:uid="{00000000-0005-0000-0000-0000BA060000}"/>
    <cellStyle name="Финансовый 2 4 4 4 2" xfId="1723" xr:uid="{00000000-0005-0000-0000-0000BB060000}"/>
    <cellStyle name="Финансовый 2 4 4 4 2 2" xfId="1724" xr:uid="{00000000-0005-0000-0000-0000BC060000}"/>
    <cellStyle name="Финансовый 2 4 4 4 2 2 2" xfId="1725" xr:uid="{00000000-0005-0000-0000-0000BD060000}"/>
    <cellStyle name="Финансовый 2 4 4 4 2 2 3" xfId="1726" xr:uid="{00000000-0005-0000-0000-0000BE060000}"/>
    <cellStyle name="Финансовый 2 4 4 4 2 3" xfId="1727" xr:uid="{00000000-0005-0000-0000-0000BF060000}"/>
    <cellStyle name="Финансовый 2 4 4 4 2 4" xfId="1728" xr:uid="{00000000-0005-0000-0000-0000C0060000}"/>
    <cellStyle name="Финансовый 2 4 4 4 3" xfId="1729" xr:uid="{00000000-0005-0000-0000-0000C1060000}"/>
    <cellStyle name="Финансовый 2 4 4 4 3 2" xfId="1730" xr:uid="{00000000-0005-0000-0000-0000C2060000}"/>
    <cellStyle name="Финансовый 2 4 4 4 3 3" xfId="1731" xr:uid="{00000000-0005-0000-0000-0000C3060000}"/>
    <cellStyle name="Финансовый 2 4 4 4 4" xfId="1732" xr:uid="{00000000-0005-0000-0000-0000C4060000}"/>
    <cellStyle name="Финансовый 2 4 4 4 5" xfId="1733" xr:uid="{00000000-0005-0000-0000-0000C5060000}"/>
    <cellStyle name="Финансовый 2 4 4 5" xfId="1734" xr:uid="{00000000-0005-0000-0000-0000C6060000}"/>
    <cellStyle name="Финансовый 2 4 4 5 2" xfId="1735" xr:uid="{00000000-0005-0000-0000-0000C7060000}"/>
    <cellStyle name="Финансовый 2 4 4 5 2 2" xfId="1736" xr:uid="{00000000-0005-0000-0000-0000C8060000}"/>
    <cellStyle name="Финансовый 2 4 4 5 2 3" xfId="1737" xr:uid="{00000000-0005-0000-0000-0000C9060000}"/>
    <cellStyle name="Финансовый 2 4 4 5 3" xfId="1738" xr:uid="{00000000-0005-0000-0000-0000CA060000}"/>
    <cellStyle name="Финансовый 2 4 4 5 4" xfId="1739" xr:uid="{00000000-0005-0000-0000-0000CB060000}"/>
    <cellStyle name="Финансовый 2 4 4 6" xfId="1740" xr:uid="{00000000-0005-0000-0000-0000CC060000}"/>
    <cellStyle name="Финансовый 2 4 4 6 2" xfId="1741" xr:uid="{00000000-0005-0000-0000-0000CD060000}"/>
    <cellStyle name="Финансовый 2 4 4 6 2 2" xfId="1742" xr:uid="{00000000-0005-0000-0000-0000CE060000}"/>
    <cellStyle name="Финансовый 2 4 4 6 2 3" xfId="1743" xr:uid="{00000000-0005-0000-0000-0000CF060000}"/>
    <cellStyle name="Финансовый 2 4 4 6 3" xfId="1744" xr:uid="{00000000-0005-0000-0000-0000D0060000}"/>
    <cellStyle name="Финансовый 2 4 4 6 4" xfId="1745" xr:uid="{00000000-0005-0000-0000-0000D1060000}"/>
    <cellStyle name="Финансовый 2 4 4 7" xfId="1746" xr:uid="{00000000-0005-0000-0000-0000D2060000}"/>
    <cellStyle name="Финансовый 2 4 4 7 2" xfId="1747" xr:uid="{00000000-0005-0000-0000-0000D3060000}"/>
    <cellStyle name="Финансовый 2 4 4 7 2 2" xfId="1748" xr:uid="{00000000-0005-0000-0000-0000D4060000}"/>
    <cellStyle name="Финансовый 2 4 4 7 2 3" xfId="1749" xr:uid="{00000000-0005-0000-0000-0000D5060000}"/>
    <cellStyle name="Финансовый 2 4 4 7 3" xfId="1750" xr:uid="{00000000-0005-0000-0000-0000D6060000}"/>
    <cellStyle name="Финансовый 2 4 4 7 4" xfId="1751" xr:uid="{00000000-0005-0000-0000-0000D7060000}"/>
    <cellStyle name="Финансовый 2 4 4 8" xfId="1752" xr:uid="{00000000-0005-0000-0000-0000D8060000}"/>
    <cellStyle name="Финансовый 2 4 4 8 2" xfId="1753" xr:uid="{00000000-0005-0000-0000-0000D9060000}"/>
    <cellStyle name="Финансовый 2 4 4 8 2 2" xfId="1754" xr:uid="{00000000-0005-0000-0000-0000DA060000}"/>
    <cellStyle name="Финансовый 2 4 4 8 2 3" xfId="1755" xr:uid="{00000000-0005-0000-0000-0000DB060000}"/>
    <cellStyle name="Финансовый 2 4 4 8 3" xfId="1756" xr:uid="{00000000-0005-0000-0000-0000DC060000}"/>
    <cellStyle name="Финансовый 2 4 4 8 4" xfId="1757" xr:uid="{00000000-0005-0000-0000-0000DD060000}"/>
    <cellStyle name="Финансовый 2 4 4 9" xfId="1758" xr:uid="{00000000-0005-0000-0000-0000DE060000}"/>
    <cellStyle name="Финансовый 2 4 4 9 2" xfId="1759" xr:uid="{00000000-0005-0000-0000-0000DF060000}"/>
    <cellStyle name="Финансовый 2 4 4 9 3" xfId="1760" xr:uid="{00000000-0005-0000-0000-0000E0060000}"/>
    <cellStyle name="Финансовый 2 4 5" xfId="1761" xr:uid="{00000000-0005-0000-0000-0000E1060000}"/>
    <cellStyle name="Финансовый 2 4 5 2" xfId="1762" xr:uid="{00000000-0005-0000-0000-0000E2060000}"/>
    <cellStyle name="Финансовый 2 4 5 2 2" xfId="1763" xr:uid="{00000000-0005-0000-0000-0000E3060000}"/>
    <cellStyle name="Финансовый 2 4 5 2 2 2" xfId="1764" xr:uid="{00000000-0005-0000-0000-0000E4060000}"/>
    <cellStyle name="Финансовый 2 4 5 2 2 2 2" xfId="1765" xr:uid="{00000000-0005-0000-0000-0000E5060000}"/>
    <cellStyle name="Финансовый 2 4 5 2 2 2 3" xfId="1766" xr:uid="{00000000-0005-0000-0000-0000E6060000}"/>
    <cellStyle name="Финансовый 2 4 5 2 2 3" xfId="1767" xr:uid="{00000000-0005-0000-0000-0000E7060000}"/>
    <cellStyle name="Финансовый 2 4 5 2 2 4" xfId="1768" xr:uid="{00000000-0005-0000-0000-0000E8060000}"/>
    <cellStyle name="Финансовый 2 4 5 2 3" xfId="1769" xr:uid="{00000000-0005-0000-0000-0000E9060000}"/>
    <cellStyle name="Финансовый 2 4 5 2 3 2" xfId="1770" xr:uid="{00000000-0005-0000-0000-0000EA060000}"/>
    <cellStyle name="Финансовый 2 4 5 2 3 3" xfId="1771" xr:uid="{00000000-0005-0000-0000-0000EB060000}"/>
    <cellStyle name="Финансовый 2 4 5 2 4" xfId="1772" xr:uid="{00000000-0005-0000-0000-0000EC060000}"/>
    <cellStyle name="Финансовый 2 4 5 2 5" xfId="1773" xr:uid="{00000000-0005-0000-0000-0000ED060000}"/>
    <cellStyle name="Финансовый 2 4 5 3" xfId="1774" xr:uid="{00000000-0005-0000-0000-0000EE060000}"/>
    <cellStyle name="Финансовый 2 4 5 3 2" xfId="1775" xr:uid="{00000000-0005-0000-0000-0000EF060000}"/>
    <cellStyle name="Финансовый 2 4 5 3 2 2" xfId="1776" xr:uid="{00000000-0005-0000-0000-0000F0060000}"/>
    <cellStyle name="Финансовый 2 4 5 3 2 2 2" xfId="1777" xr:uid="{00000000-0005-0000-0000-0000F1060000}"/>
    <cellStyle name="Финансовый 2 4 5 3 2 2 3" xfId="1778" xr:uid="{00000000-0005-0000-0000-0000F2060000}"/>
    <cellStyle name="Финансовый 2 4 5 3 2 3" xfId="1779" xr:uid="{00000000-0005-0000-0000-0000F3060000}"/>
    <cellStyle name="Финансовый 2 4 5 3 2 4" xfId="1780" xr:uid="{00000000-0005-0000-0000-0000F4060000}"/>
    <cellStyle name="Финансовый 2 4 5 3 3" xfId="1781" xr:uid="{00000000-0005-0000-0000-0000F5060000}"/>
    <cellStyle name="Финансовый 2 4 5 3 3 2" xfId="1782" xr:uid="{00000000-0005-0000-0000-0000F6060000}"/>
    <cellStyle name="Финансовый 2 4 5 3 3 3" xfId="1783" xr:uid="{00000000-0005-0000-0000-0000F7060000}"/>
    <cellStyle name="Финансовый 2 4 5 3 4" xfId="1784" xr:uid="{00000000-0005-0000-0000-0000F8060000}"/>
    <cellStyle name="Финансовый 2 4 5 3 5" xfId="1785" xr:uid="{00000000-0005-0000-0000-0000F9060000}"/>
    <cellStyle name="Финансовый 2 4 5 4" xfId="1786" xr:uid="{00000000-0005-0000-0000-0000FA060000}"/>
    <cellStyle name="Финансовый 2 4 5 4 2" xfId="1787" xr:uid="{00000000-0005-0000-0000-0000FB060000}"/>
    <cellStyle name="Финансовый 2 4 5 4 2 2" xfId="1788" xr:uid="{00000000-0005-0000-0000-0000FC060000}"/>
    <cellStyle name="Финансовый 2 4 5 4 2 3" xfId="1789" xr:uid="{00000000-0005-0000-0000-0000FD060000}"/>
    <cellStyle name="Финансовый 2 4 5 4 3" xfId="1790" xr:uid="{00000000-0005-0000-0000-0000FE060000}"/>
    <cellStyle name="Финансовый 2 4 5 4 4" xfId="1791" xr:uid="{00000000-0005-0000-0000-0000FF060000}"/>
    <cellStyle name="Финансовый 2 4 5 5" xfId="1792" xr:uid="{00000000-0005-0000-0000-000000070000}"/>
    <cellStyle name="Финансовый 2 4 5 5 2" xfId="1793" xr:uid="{00000000-0005-0000-0000-000001070000}"/>
    <cellStyle name="Финансовый 2 4 5 5 3" xfId="1794" xr:uid="{00000000-0005-0000-0000-000002070000}"/>
    <cellStyle name="Финансовый 2 4 5 6" xfId="1795" xr:uid="{00000000-0005-0000-0000-000003070000}"/>
    <cellStyle name="Финансовый 2 4 5 7" xfId="1796" xr:uid="{00000000-0005-0000-0000-000004070000}"/>
    <cellStyle name="Финансовый 2 4 5 8" xfId="1797" xr:uid="{00000000-0005-0000-0000-000005070000}"/>
    <cellStyle name="Финансовый 2 4 6" xfId="1798" xr:uid="{00000000-0005-0000-0000-000006070000}"/>
    <cellStyle name="Финансовый 2 4 6 2" xfId="1799" xr:uid="{00000000-0005-0000-0000-000007070000}"/>
    <cellStyle name="Финансовый 2 4 6 2 2" xfId="1800" xr:uid="{00000000-0005-0000-0000-000008070000}"/>
    <cellStyle name="Финансовый 2 4 6 2 2 2" xfId="1801" xr:uid="{00000000-0005-0000-0000-000009070000}"/>
    <cellStyle name="Финансовый 2 4 6 2 2 3" xfId="1802" xr:uid="{00000000-0005-0000-0000-00000A070000}"/>
    <cellStyle name="Финансовый 2 4 6 2 3" xfId="1803" xr:uid="{00000000-0005-0000-0000-00000B070000}"/>
    <cellStyle name="Финансовый 2 4 6 2 4" xfId="1804" xr:uid="{00000000-0005-0000-0000-00000C070000}"/>
    <cellStyle name="Финансовый 2 4 6 3" xfId="1805" xr:uid="{00000000-0005-0000-0000-00000D070000}"/>
    <cellStyle name="Финансовый 2 4 6 3 2" xfId="1806" xr:uid="{00000000-0005-0000-0000-00000E070000}"/>
    <cellStyle name="Финансовый 2 4 6 3 3" xfId="1807" xr:uid="{00000000-0005-0000-0000-00000F070000}"/>
    <cellStyle name="Финансовый 2 4 6 4" xfId="1808" xr:uid="{00000000-0005-0000-0000-000010070000}"/>
    <cellStyle name="Финансовый 2 4 6 5" xfId="1809" xr:uid="{00000000-0005-0000-0000-000011070000}"/>
    <cellStyle name="Финансовый 2 4 7" xfId="1810" xr:uid="{00000000-0005-0000-0000-000012070000}"/>
    <cellStyle name="Финансовый 2 4 7 2" xfId="1811" xr:uid="{00000000-0005-0000-0000-000013070000}"/>
    <cellStyle name="Финансовый 2 4 7 2 2" xfId="1812" xr:uid="{00000000-0005-0000-0000-000014070000}"/>
    <cellStyle name="Финансовый 2 4 7 2 2 2" xfId="1813" xr:uid="{00000000-0005-0000-0000-000015070000}"/>
    <cellStyle name="Финансовый 2 4 7 2 2 3" xfId="1814" xr:uid="{00000000-0005-0000-0000-000016070000}"/>
    <cellStyle name="Финансовый 2 4 7 2 3" xfId="1815" xr:uid="{00000000-0005-0000-0000-000017070000}"/>
    <cellStyle name="Финансовый 2 4 7 2 4" xfId="1816" xr:uid="{00000000-0005-0000-0000-000018070000}"/>
    <cellStyle name="Финансовый 2 4 7 3" xfId="1817" xr:uid="{00000000-0005-0000-0000-000019070000}"/>
    <cellStyle name="Финансовый 2 4 7 3 2" xfId="1818" xr:uid="{00000000-0005-0000-0000-00001A070000}"/>
    <cellStyle name="Финансовый 2 4 7 3 3" xfId="1819" xr:uid="{00000000-0005-0000-0000-00001B070000}"/>
    <cellStyle name="Финансовый 2 4 7 4" xfId="1820" xr:uid="{00000000-0005-0000-0000-00001C070000}"/>
    <cellStyle name="Финансовый 2 4 7 5" xfId="1821" xr:uid="{00000000-0005-0000-0000-00001D070000}"/>
    <cellStyle name="Финансовый 2 4 8" xfId="1822" xr:uid="{00000000-0005-0000-0000-00001E070000}"/>
    <cellStyle name="Финансовый 2 4 8 2" xfId="1823" xr:uid="{00000000-0005-0000-0000-00001F070000}"/>
    <cellStyle name="Финансовый 2 4 8 2 2" xfId="1824" xr:uid="{00000000-0005-0000-0000-000020070000}"/>
    <cellStyle name="Финансовый 2 4 8 2 3" xfId="1825" xr:uid="{00000000-0005-0000-0000-000021070000}"/>
    <cellStyle name="Финансовый 2 4 8 3" xfId="1826" xr:uid="{00000000-0005-0000-0000-000022070000}"/>
    <cellStyle name="Финансовый 2 4 8 4" xfId="1827" xr:uid="{00000000-0005-0000-0000-000023070000}"/>
    <cellStyle name="Финансовый 2 4 9" xfId="1828" xr:uid="{00000000-0005-0000-0000-000024070000}"/>
    <cellStyle name="Финансовый 2 4 9 2" xfId="1829" xr:uid="{00000000-0005-0000-0000-000025070000}"/>
    <cellStyle name="Финансовый 2 4 9 2 2" xfId="1830" xr:uid="{00000000-0005-0000-0000-000026070000}"/>
    <cellStyle name="Финансовый 2 4 9 2 3" xfId="1831" xr:uid="{00000000-0005-0000-0000-000027070000}"/>
    <cellStyle name="Финансовый 2 4 9 3" xfId="1832" xr:uid="{00000000-0005-0000-0000-000028070000}"/>
    <cellStyle name="Финансовый 2 4 9 4" xfId="1833" xr:uid="{00000000-0005-0000-0000-000029070000}"/>
    <cellStyle name="Финансовый 2 5" xfId="1834" xr:uid="{00000000-0005-0000-0000-00002A070000}"/>
    <cellStyle name="Финансовый 2 5 10" xfId="1835" xr:uid="{00000000-0005-0000-0000-00002B070000}"/>
    <cellStyle name="Финансовый 2 5 10 2" xfId="1836" xr:uid="{00000000-0005-0000-0000-00002C070000}"/>
    <cellStyle name="Финансовый 2 5 10 3" xfId="1837" xr:uid="{00000000-0005-0000-0000-00002D070000}"/>
    <cellStyle name="Финансовый 2 5 11" xfId="1838" xr:uid="{00000000-0005-0000-0000-00002E070000}"/>
    <cellStyle name="Финансовый 2 5 12" xfId="1839" xr:uid="{00000000-0005-0000-0000-00002F070000}"/>
    <cellStyle name="Финансовый 2 5 13" xfId="1840" xr:uid="{00000000-0005-0000-0000-000030070000}"/>
    <cellStyle name="Финансовый 2 5 14" xfId="1841" xr:uid="{00000000-0005-0000-0000-000031070000}"/>
    <cellStyle name="Финансовый 2 5 2" xfId="1842" xr:uid="{00000000-0005-0000-0000-000032070000}"/>
    <cellStyle name="Финансовый 2 5 2 10" xfId="1843" xr:uid="{00000000-0005-0000-0000-000033070000}"/>
    <cellStyle name="Финансовый 2 5 2 11" xfId="1844" xr:uid="{00000000-0005-0000-0000-000034070000}"/>
    <cellStyle name="Финансовый 2 5 2 12" xfId="1845" xr:uid="{00000000-0005-0000-0000-000035070000}"/>
    <cellStyle name="Финансовый 2 5 2 13" xfId="1846" xr:uid="{00000000-0005-0000-0000-000036070000}"/>
    <cellStyle name="Финансовый 2 5 2 2" xfId="1847" xr:uid="{00000000-0005-0000-0000-000037070000}"/>
    <cellStyle name="Финансовый 2 5 2 2 2" xfId="1848" xr:uid="{00000000-0005-0000-0000-000038070000}"/>
    <cellStyle name="Финансовый 2 5 2 2 2 2" xfId="1849" xr:uid="{00000000-0005-0000-0000-000039070000}"/>
    <cellStyle name="Финансовый 2 5 2 2 2 2 2" xfId="1850" xr:uid="{00000000-0005-0000-0000-00003A070000}"/>
    <cellStyle name="Финансовый 2 5 2 2 2 2 2 2" xfId="1851" xr:uid="{00000000-0005-0000-0000-00003B070000}"/>
    <cellStyle name="Финансовый 2 5 2 2 2 2 2 3" xfId="1852" xr:uid="{00000000-0005-0000-0000-00003C070000}"/>
    <cellStyle name="Финансовый 2 5 2 2 2 2 3" xfId="1853" xr:uid="{00000000-0005-0000-0000-00003D070000}"/>
    <cellStyle name="Финансовый 2 5 2 2 2 2 4" xfId="1854" xr:uid="{00000000-0005-0000-0000-00003E070000}"/>
    <cellStyle name="Финансовый 2 5 2 2 2 3" xfId="1855" xr:uid="{00000000-0005-0000-0000-00003F070000}"/>
    <cellStyle name="Финансовый 2 5 2 2 2 3 2" xfId="1856" xr:uid="{00000000-0005-0000-0000-000040070000}"/>
    <cellStyle name="Финансовый 2 5 2 2 2 3 3" xfId="1857" xr:uid="{00000000-0005-0000-0000-000041070000}"/>
    <cellStyle name="Финансовый 2 5 2 2 2 4" xfId="1858" xr:uid="{00000000-0005-0000-0000-000042070000}"/>
    <cellStyle name="Финансовый 2 5 2 2 2 5" xfId="1859" xr:uid="{00000000-0005-0000-0000-000043070000}"/>
    <cellStyle name="Финансовый 2 5 2 2 3" xfId="1860" xr:uid="{00000000-0005-0000-0000-000044070000}"/>
    <cellStyle name="Финансовый 2 5 2 2 3 2" xfId="1861" xr:uid="{00000000-0005-0000-0000-000045070000}"/>
    <cellStyle name="Финансовый 2 5 2 2 3 2 2" xfId="1862" xr:uid="{00000000-0005-0000-0000-000046070000}"/>
    <cellStyle name="Финансовый 2 5 2 2 3 2 2 2" xfId="1863" xr:uid="{00000000-0005-0000-0000-000047070000}"/>
    <cellStyle name="Финансовый 2 5 2 2 3 2 2 3" xfId="1864" xr:uid="{00000000-0005-0000-0000-000048070000}"/>
    <cellStyle name="Финансовый 2 5 2 2 3 2 3" xfId="1865" xr:uid="{00000000-0005-0000-0000-000049070000}"/>
    <cellStyle name="Финансовый 2 5 2 2 3 2 4" xfId="1866" xr:uid="{00000000-0005-0000-0000-00004A070000}"/>
    <cellStyle name="Финансовый 2 5 2 2 3 3" xfId="1867" xr:uid="{00000000-0005-0000-0000-00004B070000}"/>
    <cellStyle name="Финансовый 2 5 2 2 3 3 2" xfId="1868" xr:uid="{00000000-0005-0000-0000-00004C070000}"/>
    <cellStyle name="Финансовый 2 5 2 2 3 3 3" xfId="1869" xr:uid="{00000000-0005-0000-0000-00004D070000}"/>
    <cellStyle name="Финансовый 2 5 2 2 3 4" xfId="1870" xr:uid="{00000000-0005-0000-0000-00004E070000}"/>
    <cellStyle name="Финансовый 2 5 2 2 3 5" xfId="1871" xr:uid="{00000000-0005-0000-0000-00004F070000}"/>
    <cellStyle name="Финансовый 2 5 2 2 4" xfId="1872" xr:uid="{00000000-0005-0000-0000-000050070000}"/>
    <cellStyle name="Финансовый 2 5 2 2 4 2" xfId="1873" xr:uid="{00000000-0005-0000-0000-000051070000}"/>
    <cellStyle name="Финансовый 2 5 2 2 4 2 2" xfId="1874" xr:uid="{00000000-0005-0000-0000-000052070000}"/>
    <cellStyle name="Финансовый 2 5 2 2 4 2 3" xfId="1875" xr:uid="{00000000-0005-0000-0000-000053070000}"/>
    <cellStyle name="Финансовый 2 5 2 2 4 3" xfId="1876" xr:uid="{00000000-0005-0000-0000-000054070000}"/>
    <cellStyle name="Финансовый 2 5 2 2 4 4" xfId="1877" xr:uid="{00000000-0005-0000-0000-000055070000}"/>
    <cellStyle name="Финансовый 2 5 2 2 5" xfId="1878" xr:uid="{00000000-0005-0000-0000-000056070000}"/>
    <cellStyle name="Финансовый 2 5 2 2 5 2" xfId="1879" xr:uid="{00000000-0005-0000-0000-000057070000}"/>
    <cellStyle name="Финансовый 2 5 2 2 5 3" xfId="1880" xr:uid="{00000000-0005-0000-0000-000058070000}"/>
    <cellStyle name="Финансовый 2 5 2 2 6" xfId="1881" xr:uid="{00000000-0005-0000-0000-000059070000}"/>
    <cellStyle name="Финансовый 2 5 2 2 7" xfId="1882" xr:uid="{00000000-0005-0000-0000-00005A070000}"/>
    <cellStyle name="Финансовый 2 5 2 2 8" xfId="1883" xr:uid="{00000000-0005-0000-0000-00005B070000}"/>
    <cellStyle name="Финансовый 2 5 2 3" xfId="1884" xr:uid="{00000000-0005-0000-0000-00005C070000}"/>
    <cellStyle name="Финансовый 2 5 2 3 2" xfId="1885" xr:uid="{00000000-0005-0000-0000-00005D070000}"/>
    <cellStyle name="Финансовый 2 5 2 3 2 2" xfId="1886" xr:uid="{00000000-0005-0000-0000-00005E070000}"/>
    <cellStyle name="Финансовый 2 5 2 3 2 2 2" xfId="1887" xr:uid="{00000000-0005-0000-0000-00005F070000}"/>
    <cellStyle name="Финансовый 2 5 2 3 2 2 3" xfId="1888" xr:uid="{00000000-0005-0000-0000-000060070000}"/>
    <cellStyle name="Финансовый 2 5 2 3 2 3" xfId="1889" xr:uid="{00000000-0005-0000-0000-000061070000}"/>
    <cellStyle name="Финансовый 2 5 2 3 2 4" xfId="1890" xr:uid="{00000000-0005-0000-0000-000062070000}"/>
    <cellStyle name="Финансовый 2 5 2 3 3" xfId="1891" xr:uid="{00000000-0005-0000-0000-000063070000}"/>
    <cellStyle name="Финансовый 2 5 2 3 3 2" xfId="1892" xr:uid="{00000000-0005-0000-0000-000064070000}"/>
    <cellStyle name="Финансовый 2 5 2 3 3 3" xfId="1893" xr:uid="{00000000-0005-0000-0000-000065070000}"/>
    <cellStyle name="Финансовый 2 5 2 3 4" xfId="1894" xr:uid="{00000000-0005-0000-0000-000066070000}"/>
    <cellStyle name="Финансовый 2 5 2 3 5" xfId="1895" xr:uid="{00000000-0005-0000-0000-000067070000}"/>
    <cellStyle name="Финансовый 2 5 2 4" xfId="1896" xr:uid="{00000000-0005-0000-0000-000068070000}"/>
    <cellStyle name="Финансовый 2 5 2 4 2" xfId="1897" xr:uid="{00000000-0005-0000-0000-000069070000}"/>
    <cellStyle name="Финансовый 2 5 2 4 2 2" xfId="1898" xr:uid="{00000000-0005-0000-0000-00006A070000}"/>
    <cellStyle name="Финансовый 2 5 2 4 2 2 2" xfId="1899" xr:uid="{00000000-0005-0000-0000-00006B070000}"/>
    <cellStyle name="Финансовый 2 5 2 4 2 2 3" xfId="1900" xr:uid="{00000000-0005-0000-0000-00006C070000}"/>
    <cellStyle name="Финансовый 2 5 2 4 2 3" xfId="1901" xr:uid="{00000000-0005-0000-0000-00006D070000}"/>
    <cellStyle name="Финансовый 2 5 2 4 2 4" xfId="1902" xr:uid="{00000000-0005-0000-0000-00006E070000}"/>
    <cellStyle name="Финансовый 2 5 2 4 3" xfId="1903" xr:uid="{00000000-0005-0000-0000-00006F070000}"/>
    <cellStyle name="Финансовый 2 5 2 4 3 2" xfId="1904" xr:uid="{00000000-0005-0000-0000-000070070000}"/>
    <cellStyle name="Финансовый 2 5 2 4 3 3" xfId="1905" xr:uid="{00000000-0005-0000-0000-000071070000}"/>
    <cellStyle name="Финансовый 2 5 2 4 4" xfId="1906" xr:uid="{00000000-0005-0000-0000-000072070000}"/>
    <cellStyle name="Финансовый 2 5 2 4 5" xfId="1907" xr:uid="{00000000-0005-0000-0000-000073070000}"/>
    <cellStyle name="Финансовый 2 5 2 5" xfId="1908" xr:uid="{00000000-0005-0000-0000-000074070000}"/>
    <cellStyle name="Финансовый 2 5 2 5 2" xfId="1909" xr:uid="{00000000-0005-0000-0000-000075070000}"/>
    <cellStyle name="Финансовый 2 5 2 5 2 2" xfId="1910" xr:uid="{00000000-0005-0000-0000-000076070000}"/>
    <cellStyle name="Финансовый 2 5 2 5 2 3" xfId="1911" xr:uid="{00000000-0005-0000-0000-000077070000}"/>
    <cellStyle name="Финансовый 2 5 2 5 3" xfId="1912" xr:uid="{00000000-0005-0000-0000-000078070000}"/>
    <cellStyle name="Финансовый 2 5 2 5 4" xfId="1913" xr:uid="{00000000-0005-0000-0000-000079070000}"/>
    <cellStyle name="Финансовый 2 5 2 6" xfId="1914" xr:uid="{00000000-0005-0000-0000-00007A070000}"/>
    <cellStyle name="Финансовый 2 5 2 6 2" xfId="1915" xr:uid="{00000000-0005-0000-0000-00007B070000}"/>
    <cellStyle name="Финансовый 2 5 2 6 2 2" xfId="1916" xr:uid="{00000000-0005-0000-0000-00007C070000}"/>
    <cellStyle name="Финансовый 2 5 2 6 2 3" xfId="1917" xr:uid="{00000000-0005-0000-0000-00007D070000}"/>
    <cellStyle name="Финансовый 2 5 2 6 3" xfId="1918" xr:uid="{00000000-0005-0000-0000-00007E070000}"/>
    <cellStyle name="Финансовый 2 5 2 6 4" xfId="1919" xr:uid="{00000000-0005-0000-0000-00007F070000}"/>
    <cellStyle name="Финансовый 2 5 2 7" xfId="1920" xr:uid="{00000000-0005-0000-0000-000080070000}"/>
    <cellStyle name="Финансовый 2 5 2 7 2" xfId="1921" xr:uid="{00000000-0005-0000-0000-000081070000}"/>
    <cellStyle name="Финансовый 2 5 2 7 2 2" xfId="1922" xr:uid="{00000000-0005-0000-0000-000082070000}"/>
    <cellStyle name="Финансовый 2 5 2 7 2 3" xfId="1923" xr:uid="{00000000-0005-0000-0000-000083070000}"/>
    <cellStyle name="Финансовый 2 5 2 7 3" xfId="1924" xr:uid="{00000000-0005-0000-0000-000084070000}"/>
    <cellStyle name="Финансовый 2 5 2 7 4" xfId="1925" xr:uid="{00000000-0005-0000-0000-000085070000}"/>
    <cellStyle name="Финансовый 2 5 2 8" xfId="1926" xr:uid="{00000000-0005-0000-0000-000086070000}"/>
    <cellStyle name="Финансовый 2 5 2 8 2" xfId="1927" xr:uid="{00000000-0005-0000-0000-000087070000}"/>
    <cellStyle name="Финансовый 2 5 2 8 2 2" xfId="1928" xr:uid="{00000000-0005-0000-0000-000088070000}"/>
    <cellStyle name="Финансовый 2 5 2 8 2 3" xfId="1929" xr:uid="{00000000-0005-0000-0000-000089070000}"/>
    <cellStyle name="Финансовый 2 5 2 8 3" xfId="1930" xr:uid="{00000000-0005-0000-0000-00008A070000}"/>
    <cellStyle name="Финансовый 2 5 2 8 4" xfId="1931" xr:uid="{00000000-0005-0000-0000-00008B070000}"/>
    <cellStyle name="Финансовый 2 5 2 9" xfId="1932" xr:uid="{00000000-0005-0000-0000-00008C070000}"/>
    <cellStyle name="Финансовый 2 5 2 9 2" xfId="1933" xr:uid="{00000000-0005-0000-0000-00008D070000}"/>
    <cellStyle name="Финансовый 2 5 2 9 3" xfId="1934" xr:uid="{00000000-0005-0000-0000-00008E070000}"/>
    <cellStyle name="Финансовый 2 5 3" xfId="1935" xr:uid="{00000000-0005-0000-0000-00008F070000}"/>
    <cellStyle name="Финансовый 2 5 3 2" xfId="1936" xr:uid="{00000000-0005-0000-0000-000090070000}"/>
    <cellStyle name="Финансовый 2 5 3 2 2" xfId="1937" xr:uid="{00000000-0005-0000-0000-000091070000}"/>
    <cellStyle name="Финансовый 2 5 3 2 2 2" xfId="1938" xr:uid="{00000000-0005-0000-0000-000092070000}"/>
    <cellStyle name="Финансовый 2 5 3 2 2 2 2" xfId="1939" xr:uid="{00000000-0005-0000-0000-000093070000}"/>
    <cellStyle name="Финансовый 2 5 3 2 2 2 3" xfId="1940" xr:uid="{00000000-0005-0000-0000-000094070000}"/>
    <cellStyle name="Финансовый 2 5 3 2 2 3" xfId="1941" xr:uid="{00000000-0005-0000-0000-000095070000}"/>
    <cellStyle name="Финансовый 2 5 3 2 2 4" xfId="1942" xr:uid="{00000000-0005-0000-0000-000096070000}"/>
    <cellStyle name="Финансовый 2 5 3 2 3" xfId="1943" xr:uid="{00000000-0005-0000-0000-000097070000}"/>
    <cellStyle name="Финансовый 2 5 3 2 3 2" xfId="1944" xr:uid="{00000000-0005-0000-0000-000098070000}"/>
    <cellStyle name="Финансовый 2 5 3 2 3 3" xfId="1945" xr:uid="{00000000-0005-0000-0000-000099070000}"/>
    <cellStyle name="Финансовый 2 5 3 2 4" xfId="1946" xr:uid="{00000000-0005-0000-0000-00009A070000}"/>
    <cellStyle name="Финансовый 2 5 3 2 5" xfId="1947" xr:uid="{00000000-0005-0000-0000-00009B070000}"/>
    <cellStyle name="Финансовый 2 5 3 3" xfId="1948" xr:uid="{00000000-0005-0000-0000-00009C070000}"/>
    <cellStyle name="Финансовый 2 5 3 3 2" xfId="1949" xr:uid="{00000000-0005-0000-0000-00009D070000}"/>
    <cellStyle name="Финансовый 2 5 3 3 2 2" xfId="1950" xr:uid="{00000000-0005-0000-0000-00009E070000}"/>
    <cellStyle name="Финансовый 2 5 3 3 2 2 2" xfId="1951" xr:uid="{00000000-0005-0000-0000-00009F070000}"/>
    <cellStyle name="Финансовый 2 5 3 3 2 2 3" xfId="1952" xr:uid="{00000000-0005-0000-0000-0000A0070000}"/>
    <cellStyle name="Финансовый 2 5 3 3 2 3" xfId="1953" xr:uid="{00000000-0005-0000-0000-0000A1070000}"/>
    <cellStyle name="Финансовый 2 5 3 3 2 4" xfId="1954" xr:uid="{00000000-0005-0000-0000-0000A2070000}"/>
    <cellStyle name="Финансовый 2 5 3 3 3" xfId="1955" xr:uid="{00000000-0005-0000-0000-0000A3070000}"/>
    <cellStyle name="Финансовый 2 5 3 3 3 2" xfId="1956" xr:uid="{00000000-0005-0000-0000-0000A4070000}"/>
    <cellStyle name="Финансовый 2 5 3 3 3 3" xfId="1957" xr:uid="{00000000-0005-0000-0000-0000A5070000}"/>
    <cellStyle name="Финансовый 2 5 3 3 4" xfId="1958" xr:uid="{00000000-0005-0000-0000-0000A6070000}"/>
    <cellStyle name="Финансовый 2 5 3 3 5" xfId="1959" xr:uid="{00000000-0005-0000-0000-0000A7070000}"/>
    <cellStyle name="Финансовый 2 5 3 4" xfId="1960" xr:uid="{00000000-0005-0000-0000-0000A8070000}"/>
    <cellStyle name="Финансовый 2 5 3 4 2" xfId="1961" xr:uid="{00000000-0005-0000-0000-0000A9070000}"/>
    <cellStyle name="Финансовый 2 5 3 4 2 2" xfId="1962" xr:uid="{00000000-0005-0000-0000-0000AA070000}"/>
    <cellStyle name="Финансовый 2 5 3 4 2 3" xfId="1963" xr:uid="{00000000-0005-0000-0000-0000AB070000}"/>
    <cellStyle name="Финансовый 2 5 3 4 3" xfId="1964" xr:uid="{00000000-0005-0000-0000-0000AC070000}"/>
    <cellStyle name="Финансовый 2 5 3 4 4" xfId="1965" xr:uid="{00000000-0005-0000-0000-0000AD070000}"/>
    <cellStyle name="Финансовый 2 5 3 5" xfId="1966" xr:uid="{00000000-0005-0000-0000-0000AE070000}"/>
    <cellStyle name="Финансовый 2 5 3 5 2" xfId="1967" xr:uid="{00000000-0005-0000-0000-0000AF070000}"/>
    <cellStyle name="Финансовый 2 5 3 5 3" xfId="1968" xr:uid="{00000000-0005-0000-0000-0000B0070000}"/>
    <cellStyle name="Финансовый 2 5 3 6" xfId="1969" xr:uid="{00000000-0005-0000-0000-0000B1070000}"/>
    <cellStyle name="Финансовый 2 5 3 7" xfId="1970" xr:uid="{00000000-0005-0000-0000-0000B2070000}"/>
    <cellStyle name="Финансовый 2 5 3 8" xfId="1971" xr:uid="{00000000-0005-0000-0000-0000B3070000}"/>
    <cellStyle name="Финансовый 2 5 4" xfId="1972" xr:uid="{00000000-0005-0000-0000-0000B4070000}"/>
    <cellStyle name="Финансовый 2 5 4 2" xfId="1973" xr:uid="{00000000-0005-0000-0000-0000B5070000}"/>
    <cellStyle name="Финансовый 2 5 4 2 2" xfId="1974" xr:uid="{00000000-0005-0000-0000-0000B6070000}"/>
    <cellStyle name="Финансовый 2 5 4 2 2 2" xfId="1975" xr:uid="{00000000-0005-0000-0000-0000B7070000}"/>
    <cellStyle name="Финансовый 2 5 4 2 2 3" xfId="1976" xr:uid="{00000000-0005-0000-0000-0000B8070000}"/>
    <cellStyle name="Финансовый 2 5 4 2 3" xfId="1977" xr:uid="{00000000-0005-0000-0000-0000B9070000}"/>
    <cellStyle name="Финансовый 2 5 4 2 4" xfId="1978" xr:uid="{00000000-0005-0000-0000-0000BA070000}"/>
    <cellStyle name="Финансовый 2 5 4 3" xfId="1979" xr:uid="{00000000-0005-0000-0000-0000BB070000}"/>
    <cellStyle name="Финансовый 2 5 4 3 2" xfId="1980" xr:uid="{00000000-0005-0000-0000-0000BC070000}"/>
    <cellStyle name="Финансовый 2 5 4 3 3" xfId="1981" xr:uid="{00000000-0005-0000-0000-0000BD070000}"/>
    <cellStyle name="Финансовый 2 5 4 4" xfId="1982" xr:uid="{00000000-0005-0000-0000-0000BE070000}"/>
    <cellStyle name="Финансовый 2 5 4 5" xfId="1983" xr:uid="{00000000-0005-0000-0000-0000BF070000}"/>
    <cellStyle name="Финансовый 2 5 5" xfId="1984" xr:uid="{00000000-0005-0000-0000-0000C0070000}"/>
    <cellStyle name="Финансовый 2 5 5 2" xfId="1985" xr:uid="{00000000-0005-0000-0000-0000C1070000}"/>
    <cellStyle name="Финансовый 2 5 5 2 2" xfId="1986" xr:uid="{00000000-0005-0000-0000-0000C2070000}"/>
    <cellStyle name="Финансовый 2 5 5 2 2 2" xfId="1987" xr:uid="{00000000-0005-0000-0000-0000C3070000}"/>
    <cellStyle name="Финансовый 2 5 5 2 2 3" xfId="1988" xr:uid="{00000000-0005-0000-0000-0000C4070000}"/>
    <cellStyle name="Финансовый 2 5 5 2 3" xfId="1989" xr:uid="{00000000-0005-0000-0000-0000C5070000}"/>
    <cellStyle name="Финансовый 2 5 5 2 4" xfId="1990" xr:uid="{00000000-0005-0000-0000-0000C6070000}"/>
    <cellStyle name="Финансовый 2 5 5 3" xfId="1991" xr:uid="{00000000-0005-0000-0000-0000C7070000}"/>
    <cellStyle name="Финансовый 2 5 5 3 2" xfId="1992" xr:uid="{00000000-0005-0000-0000-0000C8070000}"/>
    <cellStyle name="Финансовый 2 5 5 3 3" xfId="1993" xr:uid="{00000000-0005-0000-0000-0000C9070000}"/>
    <cellStyle name="Финансовый 2 5 5 4" xfId="1994" xr:uid="{00000000-0005-0000-0000-0000CA070000}"/>
    <cellStyle name="Финансовый 2 5 5 5" xfId="1995" xr:uid="{00000000-0005-0000-0000-0000CB070000}"/>
    <cellStyle name="Финансовый 2 5 6" xfId="1996" xr:uid="{00000000-0005-0000-0000-0000CC070000}"/>
    <cellStyle name="Финансовый 2 5 6 2" xfId="1997" xr:uid="{00000000-0005-0000-0000-0000CD070000}"/>
    <cellStyle name="Финансовый 2 5 6 2 2" xfId="1998" xr:uid="{00000000-0005-0000-0000-0000CE070000}"/>
    <cellStyle name="Финансовый 2 5 6 2 3" xfId="1999" xr:uid="{00000000-0005-0000-0000-0000CF070000}"/>
    <cellStyle name="Финансовый 2 5 6 3" xfId="2000" xr:uid="{00000000-0005-0000-0000-0000D0070000}"/>
    <cellStyle name="Финансовый 2 5 6 4" xfId="2001" xr:uid="{00000000-0005-0000-0000-0000D1070000}"/>
    <cellStyle name="Финансовый 2 5 7" xfId="2002" xr:uid="{00000000-0005-0000-0000-0000D2070000}"/>
    <cellStyle name="Финансовый 2 5 7 2" xfId="2003" xr:uid="{00000000-0005-0000-0000-0000D3070000}"/>
    <cellStyle name="Финансовый 2 5 7 2 2" xfId="2004" xr:uid="{00000000-0005-0000-0000-0000D4070000}"/>
    <cellStyle name="Финансовый 2 5 7 2 3" xfId="2005" xr:uid="{00000000-0005-0000-0000-0000D5070000}"/>
    <cellStyle name="Финансовый 2 5 7 3" xfId="2006" xr:uid="{00000000-0005-0000-0000-0000D6070000}"/>
    <cellStyle name="Финансовый 2 5 7 4" xfId="2007" xr:uid="{00000000-0005-0000-0000-0000D7070000}"/>
    <cellStyle name="Финансовый 2 5 8" xfId="2008" xr:uid="{00000000-0005-0000-0000-0000D8070000}"/>
    <cellStyle name="Финансовый 2 5 8 2" xfId="2009" xr:uid="{00000000-0005-0000-0000-0000D9070000}"/>
    <cellStyle name="Финансовый 2 5 8 2 2" xfId="2010" xr:uid="{00000000-0005-0000-0000-0000DA070000}"/>
    <cellStyle name="Финансовый 2 5 8 2 3" xfId="2011" xr:uid="{00000000-0005-0000-0000-0000DB070000}"/>
    <cellStyle name="Финансовый 2 5 8 3" xfId="2012" xr:uid="{00000000-0005-0000-0000-0000DC070000}"/>
    <cellStyle name="Финансовый 2 5 8 4" xfId="2013" xr:uid="{00000000-0005-0000-0000-0000DD070000}"/>
    <cellStyle name="Финансовый 2 5 9" xfId="2014" xr:uid="{00000000-0005-0000-0000-0000DE070000}"/>
    <cellStyle name="Финансовый 2 5 9 2" xfId="2015" xr:uid="{00000000-0005-0000-0000-0000DF070000}"/>
    <cellStyle name="Финансовый 2 5 9 2 2" xfId="2016" xr:uid="{00000000-0005-0000-0000-0000E0070000}"/>
    <cellStyle name="Финансовый 2 5 9 2 3" xfId="2017" xr:uid="{00000000-0005-0000-0000-0000E1070000}"/>
    <cellStyle name="Финансовый 2 5 9 3" xfId="2018" xr:uid="{00000000-0005-0000-0000-0000E2070000}"/>
    <cellStyle name="Финансовый 2 5 9 4" xfId="2019" xr:uid="{00000000-0005-0000-0000-0000E3070000}"/>
    <cellStyle name="Финансовый 2 6" xfId="2020" xr:uid="{00000000-0005-0000-0000-0000E4070000}"/>
    <cellStyle name="Финансовый 2 6 10" xfId="2021" xr:uid="{00000000-0005-0000-0000-0000E5070000}"/>
    <cellStyle name="Финансовый 2 6 11" xfId="2022" xr:uid="{00000000-0005-0000-0000-0000E6070000}"/>
    <cellStyle name="Финансовый 2 6 12" xfId="2023" xr:uid="{00000000-0005-0000-0000-0000E7070000}"/>
    <cellStyle name="Финансовый 2 6 13" xfId="2024" xr:uid="{00000000-0005-0000-0000-0000E8070000}"/>
    <cellStyle name="Финансовый 2 6 2" xfId="2025" xr:uid="{00000000-0005-0000-0000-0000E9070000}"/>
    <cellStyle name="Финансовый 2 6 2 2" xfId="2026" xr:uid="{00000000-0005-0000-0000-0000EA070000}"/>
    <cellStyle name="Финансовый 2 6 2 2 2" xfId="2027" xr:uid="{00000000-0005-0000-0000-0000EB070000}"/>
    <cellStyle name="Финансовый 2 6 2 2 2 2" xfId="2028" xr:uid="{00000000-0005-0000-0000-0000EC070000}"/>
    <cellStyle name="Финансовый 2 6 2 2 2 2 2" xfId="2029" xr:uid="{00000000-0005-0000-0000-0000ED070000}"/>
    <cellStyle name="Финансовый 2 6 2 2 2 2 3" xfId="2030" xr:uid="{00000000-0005-0000-0000-0000EE070000}"/>
    <cellStyle name="Финансовый 2 6 2 2 2 3" xfId="2031" xr:uid="{00000000-0005-0000-0000-0000EF070000}"/>
    <cellStyle name="Финансовый 2 6 2 2 2 4" xfId="2032" xr:uid="{00000000-0005-0000-0000-0000F0070000}"/>
    <cellStyle name="Финансовый 2 6 2 2 3" xfId="2033" xr:uid="{00000000-0005-0000-0000-0000F1070000}"/>
    <cellStyle name="Финансовый 2 6 2 2 3 2" xfId="2034" xr:uid="{00000000-0005-0000-0000-0000F2070000}"/>
    <cellStyle name="Финансовый 2 6 2 2 3 3" xfId="2035" xr:uid="{00000000-0005-0000-0000-0000F3070000}"/>
    <cellStyle name="Финансовый 2 6 2 2 4" xfId="2036" xr:uid="{00000000-0005-0000-0000-0000F4070000}"/>
    <cellStyle name="Финансовый 2 6 2 2 5" xfId="2037" xr:uid="{00000000-0005-0000-0000-0000F5070000}"/>
    <cellStyle name="Финансовый 2 6 2 3" xfId="2038" xr:uid="{00000000-0005-0000-0000-0000F6070000}"/>
    <cellStyle name="Финансовый 2 6 2 3 2" xfId="2039" xr:uid="{00000000-0005-0000-0000-0000F7070000}"/>
    <cellStyle name="Финансовый 2 6 2 3 2 2" xfId="2040" xr:uid="{00000000-0005-0000-0000-0000F8070000}"/>
    <cellStyle name="Финансовый 2 6 2 3 2 2 2" xfId="2041" xr:uid="{00000000-0005-0000-0000-0000F9070000}"/>
    <cellStyle name="Финансовый 2 6 2 3 2 2 3" xfId="2042" xr:uid="{00000000-0005-0000-0000-0000FA070000}"/>
    <cellStyle name="Финансовый 2 6 2 3 2 3" xfId="2043" xr:uid="{00000000-0005-0000-0000-0000FB070000}"/>
    <cellStyle name="Финансовый 2 6 2 3 2 4" xfId="2044" xr:uid="{00000000-0005-0000-0000-0000FC070000}"/>
    <cellStyle name="Финансовый 2 6 2 3 3" xfId="2045" xr:uid="{00000000-0005-0000-0000-0000FD070000}"/>
    <cellStyle name="Финансовый 2 6 2 3 3 2" xfId="2046" xr:uid="{00000000-0005-0000-0000-0000FE070000}"/>
    <cellStyle name="Финансовый 2 6 2 3 3 3" xfId="2047" xr:uid="{00000000-0005-0000-0000-0000FF070000}"/>
    <cellStyle name="Финансовый 2 6 2 3 4" xfId="2048" xr:uid="{00000000-0005-0000-0000-000000080000}"/>
    <cellStyle name="Финансовый 2 6 2 3 5" xfId="2049" xr:uid="{00000000-0005-0000-0000-000001080000}"/>
    <cellStyle name="Финансовый 2 6 2 4" xfId="2050" xr:uid="{00000000-0005-0000-0000-000002080000}"/>
    <cellStyle name="Финансовый 2 6 2 4 2" xfId="2051" xr:uid="{00000000-0005-0000-0000-000003080000}"/>
    <cellStyle name="Финансовый 2 6 2 4 2 2" xfId="2052" xr:uid="{00000000-0005-0000-0000-000004080000}"/>
    <cellStyle name="Финансовый 2 6 2 4 2 3" xfId="2053" xr:uid="{00000000-0005-0000-0000-000005080000}"/>
    <cellStyle name="Финансовый 2 6 2 4 3" xfId="2054" xr:uid="{00000000-0005-0000-0000-000006080000}"/>
    <cellStyle name="Финансовый 2 6 2 4 4" xfId="2055" xr:uid="{00000000-0005-0000-0000-000007080000}"/>
    <cellStyle name="Финансовый 2 6 2 5" xfId="2056" xr:uid="{00000000-0005-0000-0000-000008080000}"/>
    <cellStyle name="Финансовый 2 6 2 5 2" xfId="2057" xr:uid="{00000000-0005-0000-0000-000009080000}"/>
    <cellStyle name="Финансовый 2 6 2 5 3" xfId="2058" xr:uid="{00000000-0005-0000-0000-00000A080000}"/>
    <cellStyle name="Финансовый 2 6 2 6" xfId="2059" xr:uid="{00000000-0005-0000-0000-00000B080000}"/>
    <cellStyle name="Финансовый 2 6 2 7" xfId="2060" xr:uid="{00000000-0005-0000-0000-00000C080000}"/>
    <cellStyle name="Финансовый 2 6 2 8" xfId="2061" xr:uid="{00000000-0005-0000-0000-00000D080000}"/>
    <cellStyle name="Финансовый 2 6 3" xfId="2062" xr:uid="{00000000-0005-0000-0000-00000E080000}"/>
    <cellStyle name="Финансовый 2 6 3 2" xfId="2063" xr:uid="{00000000-0005-0000-0000-00000F080000}"/>
    <cellStyle name="Финансовый 2 6 3 2 2" xfId="2064" xr:uid="{00000000-0005-0000-0000-000010080000}"/>
    <cellStyle name="Финансовый 2 6 3 2 2 2" xfId="2065" xr:uid="{00000000-0005-0000-0000-000011080000}"/>
    <cellStyle name="Финансовый 2 6 3 2 2 3" xfId="2066" xr:uid="{00000000-0005-0000-0000-000012080000}"/>
    <cellStyle name="Финансовый 2 6 3 2 3" xfId="2067" xr:uid="{00000000-0005-0000-0000-000013080000}"/>
    <cellStyle name="Финансовый 2 6 3 2 4" xfId="2068" xr:uid="{00000000-0005-0000-0000-000014080000}"/>
    <cellStyle name="Финансовый 2 6 3 3" xfId="2069" xr:uid="{00000000-0005-0000-0000-000015080000}"/>
    <cellStyle name="Финансовый 2 6 3 3 2" xfId="2070" xr:uid="{00000000-0005-0000-0000-000016080000}"/>
    <cellStyle name="Финансовый 2 6 3 3 3" xfId="2071" xr:uid="{00000000-0005-0000-0000-000017080000}"/>
    <cellStyle name="Финансовый 2 6 3 4" xfId="2072" xr:uid="{00000000-0005-0000-0000-000018080000}"/>
    <cellStyle name="Финансовый 2 6 3 5" xfId="2073" xr:uid="{00000000-0005-0000-0000-000019080000}"/>
    <cellStyle name="Финансовый 2 6 4" xfId="2074" xr:uid="{00000000-0005-0000-0000-00001A080000}"/>
    <cellStyle name="Финансовый 2 6 4 2" xfId="2075" xr:uid="{00000000-0005-0000-0000-00001B080000}"/>
    <cellStyle name="Финансовый 2 6 4 2 2" xfId="2076" xr:uid="{00000000-0005-0000-0000-00001C080000}"/>
    <cellStyle name="Финансовый 2 6 4 2 2 2" xfId="2077" xr:uid="{00000000-0005-0000-0000-00001D080000}"/>
    <cellStyle name="Финансовый 2 6 4 2 2 3" xfId="2078" xr:uid="{00000000-0005-0000-0000-00001E080000}"/>
    <cellStyle name="Финансовый 2 6 4 2 3" xfId="2079" xr:uid="{00000000-0005-0000-0000-00001F080000}"/>
    <cellStyle name="Финансовый 2 6 4 2 4" xfId="2080" xr:uid="{00000000-0005-0000-0000-000020080000}"/>
    <cellStyle name="Финансовый 2 6 4 3" xfId="2081" xr:uid="{00000000-0005-0000-0000-000021080000}"/>
    <cellStyle name="Финансовый 2 6 4 3 2" xfId="2082" xr:uid="{00000000-0005-0000-0000-000022080000}"/>
    <cellStyle name="Финансовый 2 6 4 3 3" xfId="2083" xr:uid="{00000000-0005-0000-0000-000023080000}"/>
    <cellStyle name="Финансовый 2 6 4 4" xfId="2084" xr:uid="{00000000-0005-0000-0000-000024080000}"/>
    <cellStyle name="Финансовый 2 6 4 5" xfId="2085" xr:uid="{00000000-0005-0000-0000-000025080000}"/>
    <cellStyle name="Финансовый 2 6 5" xfId="2086" xr:uid="{00000000-0005-0000-0000-000026080000}"/>
    <cellStyle name="Финансовый 2 6 5 2" xfId="2087" xr:uid="{00000000-0005-0000-0000-000027080000}"/>
    <cellStyle name="Финансовый 2 6 5 2 2" xfId="2088" xr:uid="{00000000-0005-0000-0000-000028080000}"/>
    <cellStyle name="Финансовый 2 6 5 2 3" xfId="2089" xr:uid="{00000000-0005-0000-0000-000029080000}"/>
    <cellStyle name="Финансовый 2 6 5 3" xfId="2090" xr:uid="{00000000-0005-0000-0000-00002A080000}"/>
    <cellStyle name="Финансовый 2 6 5 4" xfId="2091" xr:uid="{00000000-0005-0000-0000-00002B080000}"/>
    <cellStyle name="Финансовый 2 6 6" xfId="2092" xr:uid="{00000000-0005-0000-0000-00002C080000}"/>
    <cellStyle name="Финансовый 2 6 6 2" xfId="2093" xr:uid="{00000000-0005-0000-0000-00002D080000}"/>
    <cellStyle name="Финансовый 2 6 6 2 2" xfId="2094" xr:uid="{00000000-0005-0000-0000-00002E080000}"/>
    <cellStyle name="Финансовый 2 6 6 2 3" xfId="2095" xr:uid="{00000000-0005-0000-0000-00002F080000}"/>
    <cellStyle name="Финансовый 2 6 6 3" xfId="2096" xr:uid="{00000000-0005-0000-0000-000030080000}"/>
    <cellStyle name="Финансовый 2 6 6 4" xfId="2097" xr:uid="{00000000-0005-0000-0000-000031080000}"/>
    <cellStyle name="Финансовый 2 6 7" xfId="2098" xr:uid="{00000000-0005-0000-0000-000032080000}"/>
    <cellStyle name="Финансовый 2 6 7 2" xfId="2099" xr:uid="{00000000-0005-0000-0000-000033080000}"/>
    <cellStyle name="Финансовый 2 6 7 2 2" xfId="2100" xr:uid="{00000000-0005-0000-0000-000034080000}"/>
    <cellStyle name="Финансовый 2 6 7 2 3" xfId="2101" xr:uid="{00000000-0005-0000-0000-000035080000}"/>
    <cellStyle name="Финансовый 2 6 7 3" xfId="2102" xr:uid="{00000000-0005-0000-0000-000036080000}"/>
    <cellStyle name="Финансовый 2 6 7 4" xfId="2103" xr:uid="{00000000-0005-0000-0000-000037080000}"/>
    <cellStyle name="Финансовый 2 6 8" xfId="2104" xr:uid="{00000000-0005-0000-0000-000038080000}"/>
    <cellStyle name="Финансовый 2 6 8 2" xfId="2105" xr:uid="{00000000-0005-0000-0000-000039080000}"/>
    <cellStyle name="Финансовый 2 6 8 2 2" xfId="2106" xr:uid="{00000000-0005-0000-0000-00003A080000}"/>
    <cellStyle name="Финансовый 2 6 8 2 3" xfId="2107" xr:uid="{00000000-0005-0000-0000-00003B080000}"/>
    <cellStyle name="Финансовый 2 6 8 3" xfId="2108" xr:uid="{00000000-0005-0000-0000-00003C080000}"/>
    <cellStyle name="Финансовый 2 6 8 4" xfId="2109" xr:uid="{00000000-0005-0000-0000-00003D080000}"/>
    <cellStyle name="Финансовый 2 6 9" xfId="2110" xr:uid="{00000000-0005-0000-0000-00003E080000}"/>
    <cellStyle name="Финансовый 2 6 9 2" xfId="2111" xr:uid="{00000000-0005-0000-0000-00003F080000}"/>
    <cellStyle name="Финансовый 2 6 9 3" xfId="2112" xr:uid="{00000000-0005-0000-0000-000040080000}"/>
    <cellStyle name="Финансовый 2 7" xfId="2113" xr:uid="{00000000-0005-0000-0000-000041080000}"/>
    <cellStyle name="Финансовый 2 7 10" xfId="2114" xr:uid="{00000000-0005-0000-0000-000042080000}"/>
    <cellStyle name="Финансовый 2 7 11" xfId="2115" xr:uid="{00000000-0005-0000-0000-000043080000}"/>
    <cellStyle name="Финансовый 2 7 12" xfId="2116" xr:uid="{00000000-0005-0000-0000-000044080000}"/>
    <cellStyle name="Финансовый 2 7 13" xfId="2117" xr:uid="{00000000-0005-0000-0000-000045080000}"/>
    <cellStyle name="Финансовый 2 7 2" xfId="2118" xr:uid="{00000000-0005-0000-0000-000046080000}"/>
    <cellStyle name="Финансовый 2 7 2 2" xfId="2119" xr:uid="{00000000-0005-0000-0000-000047080000}"/>
    <cellStyle name="Финансовый 2 7 2 2 2" xfId="2120" xr:uid="{00000000-0005-0000-0000-000048080000}"/>
    <cellStyle name="Финансовый 2 7 2 2 2 2" xfId="2121" xr:uid="{00000000-0005-0000-0000-000049080000}"/>
    <cellStyle name="Финансовый 2 7 2 2 2 2 2" xfId="2122" xr:uid="{00000000-0005-0000-0000-00004A080000}"/>
    <cellStyle name="Финансовый 2 7 2 2 2 2 3" xfId="2123" xr:uid="{00000000-0005-0000-0000-00004B080000}"/>
    <cellStyle name="Финансовый 2 7 2 2 2 3" xfId="2124" xr:uid="{00000000-0005-0000-0000-00004C080000}"/>
    <cellStyle name="Финансовый 2 7 2 2 2 4" xfId="2125" xr:uid="{00000000-0005-0000-0000-00004D080000}"/>
    <cellStyle name="Финансовый 2 7 2 2 3" xfId="2126" xr:uid="{00000000-0005-0000-0000-00004E080000}"/>
    <cellStyle name="Финансовый 2 7 2 2 3 2" xfId="2127" xr:uid="{00000000-0005-0000-0000-00004F080000}"/>
    <cellStyle name="Финансовый 2 7 2 2 3 3" xfId="2128" xr:uid="{00000000-0005-0000-0000-000050080000}"/>
    <cellStyle name="Финансовый 2 7 2 2 4" xfId="2129" xr:uid="{00000000-0005-0000-0000-000051080000}"/>
    <cellStyle name="Финансовый 2 7 2 2 5" xfId="2130" xr:uid="{00000000-0005-0000-0000-000052080000}"/>
    <cellStyle name="Финансовый 2 7 2 3" xfId="2131" xr:uid="{00000000-0005-0000-0000-000053080000}"/>
    <cellStyle name="Финансовый 2 7 2 3 2" xfId="2132" xr:uid="{00000000-0005-0000-0000-000054080000}"/>
    <cellStyle name="Финансовый 2 7 2 3 2 2" xfId="2133" xr:uid="{00000000-0005-0000-0000-000055080000}"/>
    <cellStyle name="Финансовый 2 7 2 3 2 2 2" xfId="2134" xr:uid="{00000000-0005-0000-0000-000056080000}"/>
    <cellStyle name="Финансовый 2 7 2 3 2 2 3" xfId="2135" xr:uid="{00000000-0005-0000-0000-000057080000}"/>
    <cellStyle name="Финансовый 2 7 2 3 2 3" xfId="2136" xr:uid="{00000000-0005-0000-0000-000058080000}"/>
    <cellStyle name="Финансовый 2 7 2 3 2 4" xfId="2137" xr:uid="{00000000-0005-0000-0000-000059080000}"/>
    <cellStyle name="Финансовый 2 7 2 3 3" xfId="2138" xr:uid="{00000000-0005-0000-0000-00005A080000}"/>
    <cellStyle name="Финансовый 2 7 2 3 3 2" xfId="2139" xr:uid="{00000000-0005-0000-0000-00005B080000}"/>
    <cellStyle name="Финансовый 2 7 2 3 3 3" xfId="2140" xr:uid="{00000000-0005-0000-0000-00005C080000}"/>
    <cellStyle name="Финансовый 2 7 2 3 4" xfId="2141" xr:uid="{00000000-0005-0000-0000-00005D080000}"/>
    <cellStyle name="Финансовый 2 7 2 3 5" xfId="2142" xr:uid="{00000000-0005-0000-0000-00005E080000}"/>
    <cellStyle name="Финансовый 2 7 2 4" xfId="2143" xr:uid="{00000000-0005-0000-0000-00005F080000}"/>
    <cellStyle name="Финансовый 2 7 2 4 2" xfId="2144" xr:uid="{00000000-0005-0000-0000-000060080000}"/>
    <cellStyle name="Финансовый 2 7 2 4 2 2" xfId="2145" xr:uid="{00000000-0005-0000-0000-000061080000}"/>
    <cellStyle name="Финансовый 2 7 2 4 2 3" xfId="2146" xr:uid="{00000000-0005-0000-0000-000062080000}"/>
    <cellStyle name="Финансовый 2 7 2 4 3" xfId="2147" xr:uid="{00000000-0005-0000-0000-000063080000}"/>
    <cellStyle name="Финансовый 2 7 2 4 4" xfId="2148" xr:uid="{00000000-0005-0000-0000-000064080000}"/>
    <cellStyle name="Финансовый 2 7 2 5" xfId="2149" xr:uid="{00000000-0005-0000-0000-000065080000}"/>
    <cellStyle name="Финансовый 2 7 2 5 2" xfId="2150" xr:uid="{00000000-0005-0000-0000-000066080000}"/>
    <cellStyle name="Финансовый 2 7 2 5 3" xfId="2151" xr:uid="{00000000-0005-0000-0000-000067080000}"/>
    <cellStyle name="Финансовый 2 7 2 6" xfId="2152" xr:uid="{00000000-0005-0000-0000-000068080000}"/>
    <cellStyle name="Финансовый 2 7 2 7" xfId="2153" xr:uid="{00000000-0005-0000-0000-000069080000}"/>
    <cellStyle name="Финансовый 2 7 2 8" xfId="2154" xr:uid="{00000000-0005-0000-0000-00006A080000}"/>
    <cellStyle name="Финансовый 2 7 3" xfId="2155" xr:uid="{00000000-0005-0000-0000-00006B080000}"/>
    <cellStyle name="Финансовый 2 7 3 2" xfId="2156" xr:uid="{00000000-0005-0000-0000-00006C080000}"/>
    <cellStyle name="Финансовый 2 7 3 2 2" xfId="2157" xr:uid="{00000000-0005-0000-0000-00006D080000}"/>
    <cellStyle name="Финансовый 2 7 3 2 2 2" xfId="2158" xr:uid="{00000000-0005-0000-0000-00006E080000}"/>
    <cellStyle name="Финансовый 2 7 3 2 2 3" xfId="2159" xr:uid="{00000000-0005-0000-0000-00006F080000}"/>
    <cellStyle name="Финансовый 2 7 3 2 3" xfId="2160" xr:uid="{00000000-0005-0000-0000-000070080000}"/>
    <cellStyle name="Финансовый 2 7 3 2 4" xfId="2161" xr:uid="{00000000-0005-0000-0000-000071080000}"/>
    <cellStyle name="Финансовый 2 7 3 3" xfId="2162" xr:uid="{00000000-0005-0000-0000-000072080000}"/>
    <cellStyle name="Финансовый 2 7 3 3 2" xfId="2163" xr:uid="{00000000-0005-0000-0000-000073080000}"/>
    <cellStyle name="Финансовый 2 7 3 3 3" xfId="2164" xr:uid="{00000000-0005-0000-0000-000074080000}"/>
    <cellStyle name="Финансовый 2 7 3 4" xfId="2165" xr:uid="{00000000-0005-0000-0000-000075080000}"/>
    <cellStyle name="Финансовый 2 7 3 5" xfId="2166" xr:uid="{00000000-0005-0000-0000-000076080000}"/>
    <cellStyle name="Финансовый 2 7 4" xfId="2167" xr:uid="{00000000-0005-0000-0000-000077080000}"/>
    <cellStyle name="Финансовый 2 7 4 2" xfId="2168" xr:uid="{00000000-0005-0000-0000-000078080000}"/>
    <cellStyle name="Финансовый 2 7 4 2 2" xfId="2169" xr:uid="{00000000-0005-0000-0000-000079080000}"/>
    <cellStyle name="Финансовый 2 7 4 2 2 2" xfId="2170" xr:uid="{00000000-0005-0000-0000-00007A080000}"/>
    <cellStyle name="Финансовый 2 7 4 2 2 3" xfId="2171" xr:uid="{00000000-0005-0000-0000-00007B080000}"/>
    <cellStyle name="Финансовый 2 7 4 2 3" xfId="2172" xr:uid="{00000000-0005-0000-0000-00007C080000}"/>
    <cellStyle name="Финансовый 2 7 4 2 4" xfId="2173" xr:uid="{00000000-0005-0000-0000-00007D080000}"/>
    <cellStyle name="Финансовый 2 7 4 3" xfId="2174" xr:uid="{00000000-0005-0000-0000-00007E080000}"/>
    <cellStyle name="Финансовый 2 7 4 3 2" xfId="2175" xr:uid="{00000000-0005-0000-0000-00007F080000}"/>
    <cellStyle name="Финансовый 2 7 4 3 3" xfId="2176" xr:uid="{00000000-0005-0000-0000-000080080000}"/>
    <cellStyle name="Финансовый 2 7 4 4" xfId="2177" xr:uid="{00000000-0005-0000-0000-000081080000}"/>
    <cellStyle name="Финансовый 2 7 4 5" xfId="2178" xr:uid="{00000000-0005-0000-0000-000082080000}"/>
    <cellStyle name="Финансовый 2 7 5" xfId="2179" xr:uid="{00000000-0005-0000-0000-000083080000}"/>
    <cellStyle name="Финансовый 2 7 5 2" xfId="2180" xr:uid="{00000000-0005-0000-0000-000084080000}"/>
    <cellStyle name="Финансовый 2 7 5 2 2" xfId="2181" xr:uid="{00000000-0005-0000-0000-000085080000}"/>
    <cellStyle name="Финансовый 2 7 5 2 3" xfId="2182" xr:uid="{00000000-0005-0000-0000-000086080000}"/>
    <cellStyle name="Финансовый 2 7 5 3" xfId="2183" xr:uid="{00000000-0005-0000-0000-000087080000}"/>
    <cellStyle name="Финансовый 2 7 5 4" xfId="2184" xr:uid="{00000000-0005-0000-0000-000088080000}"/>
    <cellStyle name="Финансовый 2 7 6" xfId="2185" xr:uid="{00000000-0005-0000-0000-000089080000}"/>
    <cellStyle name="Финансовый 2 7 6 2" xfId="2186" xr:uid="{00000000-0005-0000-0000-00008A080000}"/>
    <cellStyle name="Финансовый 2 7 6 2 2" xfId="2187" xr:uid="{00000000-0005-0000-0000-00008B080000}"/>
    <cellStyle name="Финансовый 2 7 6 2 3" xfId="2188" xr:uid="{00000000-0005-0000-0000-00008C080000}"/>
    <cellStyle name="Финансовый 2 7 6 3" xfId="2189" xr:uid="{00000000-0005-0000-0000-00008D080000}"/>
    <cellStyle name="Финансовый 2 7 6 4" xfId="2190" xr:uid="{00000000-0005-0000-0000-00008E080000}"/>
    <cellStyle name="Финансовый 2 7 7" xfId="2191" xr:uid="{00000000-0005-0000-0000-00008F080000}"/>
    <cellStyle name="Финансовый 2 7 7 2" xfId="2192" xr:uid="{00000000-0005-0000-0000-000090080000}"/>
    <cellStyle name="Финансовый 2 7 7 2 2" xfId="2193" xr:uid="{00000000-0005-0000-0000-000091080000}"/>
    <cellStyle name="Финансовый 2 7 7 2 3" xfId="2194" xr:uid="{00000000-0005-0000-0000-000092080000}"/>
    <cellStyle name="Финансовый 2 7 7 3" xfId="2195" xr:uid="{00000000-0005-0000-0000-000093080000}"/>
    <cellStyle name="Финансовый 2 7 7 4" xfId="2196" xr:uid="{00000000-0005-0000-0000-000094080000}"/>
    <cellStyle name="Финансовый 2 7 8" xfId="2197" xr:uid="{00000000-0005-0000-0000-000095080000}"/>
    <cellStyle name="Финансовый 2 7 8 2" xfId="2198" xr:uid="{00000000-0005-0000-0000-000096080000}"/>
    <cellStyle name="Финансовый 2 7 8 2 2" xfId="2199" xr:uid="{00000000-0005-0000-0000-000097080000}"/>
    <cellStyle name="Финансовый 2 7 8 2 3" xfId="2200" xr:uid="{00000000-0005-0000-0000-000098080000}"/>
    <cellStyle name="Финансовый 2 7 8 3" xfId="2201" xr:uid="{00000000-0005-0000-0000-000099080000}"/>
    <cellStyle name="Финансовый 2 7 8 4" xfId="2202" xr:uid="{00000000-0005-0000-0000-00009A080000}"/>
    <cellStyle name="Финансовый 2 7 9" xfId="2203" xr:uid="{00000000-0005-0000-0000-00009B080000}"/>
    <cellStyle name="Финансовый 2 7 9 2" xfId="2204" xr:uid="{00000000-0005-0000-0000-00009C080000}"/>
    <cellStyle name="Финансовый 2 7 9 3" xfId="2205" xr:uid="{00000000-0005-0000-0000-00009D080000}"/>
    <cellStyle name="Финансовый 2 8" xfId="2206" xr:uid="{00000000-0005-0000-0000-00009E080000}"/>
    <cellStyle name="Финансовый 2 8 10" xfId="2207" xr:uid="{00000000-0005-0000-0000-00009F080000}"/>
    <cellStyle name="Финансовый 2 8 11" xfId="2208" xr:uid="{00000000-0005-0000-0000-0000A0080000}"/>
    <cellStyle name="Финансовый 2 8 12" xfId="2209" xr:uid="{00000000-0005-0000-0000-0000A1080000}"/>
    <cellStyle name="Финансовый 2 8 13" xfId="2210" xr:uid="{00000000-0005-0000-0000-0000A2080000}"/>
    <cellStyle name="Финансовый 2 8 2" xfId="2211" xr:uid="{00000000-0005-0000-0000-0000A3080000}"/>
    <cellStyle name="Финансовый 2 8 2 2" xfId="2212" xr:uid="{00000000-0005-0000-0000-0000A4080000}"/>
    <cellStyle name="Финансовый 2 8 2 2 2" xfId="2213" xr:uid="{00000000-0005-0000-0000-0000A5080000}"/>
    <cellStyle name="Финансовый 2 8 2 2 2 2" xfId="2214" xr:uid="{00000000-0005-0000-0000-0000A6080000}"/>
    <cellStyle name="Финансовый 2 8 2 2 2 2 2" xfId="2215" xr:uid="{00000000-0005-0000-0000-0000A7080000}"/>
    <cellStyle name="Финансовый 2 8 2 2 2 2 3" xfId="2216" xr:uid="{00000000-0005-0000-0000-0000A8080000}"/>
    <cellStyle name="Финансовый 2 8 2 2 2 3" xfId="2217" xr:uid="{00000000-0005-0000-0000-0000A9080000}"/>
    <cellStyle name="Финансовый 2 8 2 2 2 4" xfId="2218" xr:uid="{00000000-0005-0000-0000-0000AA080000}"/>
    <cellStyle name="Финансовый 2 8 2 2 3" xfId="2219" xr:uid="{00000000-0005-0000-0000-0000AB080000}"/>
    <cellStyle name="Финансовый 2 8 2 2 3 2" xfId="2220" xr:uid="{00000000-0005-0000-0000-0000AC080000}"/>
    <cellStyle name="Финансовый 2 8 2 2 3 3" xfId="2221" xr:uid="{00000000-0005-0000-0000-0000AD080000}"/>
    <cellStyle name="Финансовый 2 8 2 2 4" xfId="2222" xr:uid="{00000000-0005-0000-0000-0000AE080000}"/>
    <cellStyle name="Финансовый 2 8 2 2 5" xfId="2223" xr:uid="{00000000-0005-0000-0000-0000AF080000}"/>
    <cellStyle name="Финансовый 2 8 2 3" xfId="2224" xr:uid="{00000000-0005-0000-0000-0000B0080000}"/>
    <cellStyle name="Финансовый 2 8 2 3 2" xfId="2225" xr:uid="{00000000-0005-0000-0000-0000B1080000}"/>
    <cellStyle name="Финансовый 2 8 2 3 2 2" xfId="2226" xr:uid="{00000000-0005-0000-0000-0000B2080000}"/>
    <cellStyle name="Финансовый 2 8 2 3 2 2 2" xfId="2227" xr:uid="{00000000-0005-0000-0000-0000B3080000}"/>
    <cellStyle name="Финансовый 2 8 2 3 2 2 3" xfId="2228" xr:uid="{00000000-0005-0000-0000-0000B4080000}"/>
    <cellStyle name="Финансовый 2 8 2 3 2 3" xfId="2229" xr:uid="{00000000-0005-0000-0000-0000B5080000}"/>
    <cellStyle name="Финансовый 2 8 2 3 2 4" xfId="2230" xr:uid="{00000000-0005-0000-0000-0000B6080000}"/>
    <cellStyle name="Финансовый 2 8 2 3 3" xfId="2231" xr:uid="{00000000-0005-0000-0000-0000B7080000}"/>
    <cellStyle name="Финансовый 2 8 2 3 3 2" xfId="2232" xr:uid="{00000000-0005-0000-0000-0000B8080000}"/>
    <cellStyle name="Финансовый 2 8 2 3 3 3" xfId="2233" xr:uid="{00000000-0005-0000-0000-0000B9080000}"/>
    <cellStyle name="Финансовый 2 8 2 3 4" xfId="2234" xr:uid="{00000000-0005-0000-0000-0000BA080000}"/>
    <cellStyle name="Финансовый 2 8 2 3 5" xfId="2235" xr:uid="{00000000-0005-0000-0000-0000BB080000}"/>
    <cellStyle name="Финансовый 2 8 2 4" xfId="2236" xr:uid="{00000000-0005-0000-0000-0000BC080000}"/>
    <cellStyle name="Финансовый 2 8 2 4 2" xfId="2237" xr:uid="{00000000-0005-0000-0000-0000BD080000}"/>
    <cellStyle name="Финансовый 2 8 2 4 2 2" xfId="2238" xr:uid="{00000000-0005-0000-0000-0000BE080000}"/>
    <cellStyle name="Финансовый 2 8 2 4 2 3" xfId="2239" xr:uid="{00000000-0005-0000-0000-0000BF080000}"/>
    <cellStyle name="Финансовый 2 8 2 4 3" xfId="2240" xr:uid="{00000000-0005-0000-0000-0000C0080000}"/>
    <cellStyle name="Финансовый 2 8 2 4 4" xfId="2241" xr:uid="{00000000-0005-0000-0000-0000C1080000}"/>
    <cellStyle name="Финансовый 2 8 2 5" xfId="2242" xr:uid="{00000000-0005-0000-0000-0000C2080000}"/>
    <cellStyle name="Финансовый 2 8 2 5 2" xfId="2243" xr:uid="{00000000-0005-0000-0000-0000C3080000}"/>
    <cellStyle name="Финансовый 2 8 2 5 3" xfId="2244" xr:uid="{00000000-0005-0000-0000-0000C4080000}"/>
    <cellStyle name="Финансовый 2 8 2 6" xfId="2245" xr:uid="{00000000-0005-0000-0000-0000C5080000}"/>
    <cellStyle name="Финансовый 2 8 2 7" xfId="2246" xr:uid="{00000000-0005-0000-0000-0000C6080000}"/>
    <cellStyle name="Финансовый 2 8 2 8" xfId="2247" xr:uid="{00000000-0005-0000-0000-0000C7080000}"/>
    <cellStyle name="Финансовый 2 8 3" xfId="2248" xr:uid="{00000000-0005-0000-0000-0000C8080000}"/>
    <cellStyle name="Финансовый 2 8 3 2" xfId="2249" xr:uid="{00000000-0005-0000-0000-0000C9080000}"/>
    <cellStyle name="Финансовый 2 8 3 2 2" xfId="2250" xr:uid="{00000000-0005-0000-0000-0000CA080000}"/>
    <cellStyle name="Финансовый 2 8 3 2 2 2" xfId="2251" xr:uid="{00000000-0005-0000-0000-0000CB080000}"/>
    <cellStyle name="Финансовый 2 8 3 2 2 3" xfId="2252" xr:uid="{00000000-0005-0000-0000-0000CC080000}"/>
    <cellStyle name="Финансовый 2 8 3 2 3" xfId="2253" xr:uid="{00000000-0005-0000-0000-0000CD080000}"/>
    <cellStyle name="Финансовый 2 8 3 2 4" xfId="2254" xr:uid="{00000000-0005-0000-0000-0000CE080000}"/>
    <cellStyle name="Финансовый 2 8 3 3" xfId="2255" xr:uid="{00000000-0005-0000-0000-0000CF080000}"/>
    <cellStyle name="Финансовый 2 8 3 3 2" xfId="2256" xr:uid="{00000000-0005-0000-0000-0000D0080000}"/>
    <cellStyle name="Финансовый 2 8 3 3 3" xfId="2257" xr:uid="{00000000-0005-0000-0000-0000D1080000}"/>
    <cellStyle name="Финансовый 2 8 3 4" xfId="2258" xr:uid="{00000000-0005-0000-0000-0000D2080000}"/>
    <cellStyle name="Финансовый 2 8 3 5" xfId="2259" xr:uid="{00000000-0005-0000-0000-0000D3080000}"/>
    <cellStyle name="Финансовый 2 8 4" xfId="2260" xr:uid="{00000000-0005-0000-0000-0000D4080000}"/>
    <cellStyle name="Финансовый 2 8 4 2" xfId="2261" xr:uid="{00000000-0005-0000-0000-0000D5080000}"/>
    <cellStyle name="Финансовый 2 8 4 2 2" xfId="2262" xr:uid="{00000000-0005-0000-0000-0000D6080000}"/>
    <cellStyle name="Финансовый 2 8 4 2 2 2" xfId="2263" xr:uid="{00000000-0005-0000-0000-0000D7080000}"/>
    <cellStyle name="Финансовый 2 8 4 2 2 3" xfId="2264" xr:uid="{00000000-0005-0000-0000-0000D8080000}"/>
    <cellStyle name="Финансовый 2 8 4 2 3" xfId="2265" xr:uid="{00000000-0005-0000-0000-0000D9080000}"/>
    <cellStyle name="Финансовый 2 8 4 2 4" xfId="2266" xr:uid="{00000000-0005-0000-0000-0000DA080000}"/>
    <cellStyle name="Финансовый 2 8 4 3" xfId="2267" xr:uid="{00000000-0005-0000-0000-0000DB080000}"/>
    <cellStyle name="Финансовый 2 8 4 3 2" xfId="2268" xr:uid="{00000000-0005-0000-0000-0000DC080000}"/>
    <cellStyle name="Финансовый 2 8 4 3 3" xfId="2269" xr:uid="{00000000-0005-0000-0000-0000DD080000}"/>
    <cellStyle name="Финансовый 2 8 4 4" xfId="2270" xr:uid="{00000000-0005-0000-0000-0000DE080000}"/>
    <cellStyle name="Финансовый 2 8 4 5" xfId="2271" xr:uid="{00000000-0005-0000-0000-0000DF080000}"/>
    <cellStyle name="Финансовый 2 8 5" xfId="2272" xr:uid="{00000000-0005-0000-0000-0000E0080000}"/>
    <cellStyle name="Финансовый 2 8 5 2" xfId="2273" xr:uid="{00000000-0005-0000-0000-0000E1080000}"/>
    <cellStyle name="Финансовый 2 8 5 2 2" xfId="2274" xr:uid="{00000000-0005-0000-0000-0000E2080000}"/>
    <cellStyle name="Финансовый 2 8 5 2 3" xfId="2275" xr:uid="{00000000-0005-0000-0000-0000E3080000}"/>
    <cellStyle name="Финансовый 2 8 5 3" xfId="2276" xr:uid="{00000000-0005-0000-0000-0000E4080000}"/>
    <cellStyle name="Финансовый 2 8 5 4" xfId="2277" xr:uid="{00000000-0005-0000-0000-0000E5080000}"/>
    <cellStyle name="Финансовый 2 8 6" xfId="2278" xr:uid="{00000000-0005-0000-0000-0000E6080000}"/>
    <cellStyle name="Финансовый 2 8 6 2" xfId="2279" xr:uid="{00000000-0005-0000-0000-0000E7080000}"/>
    <cellStyle name="Финансовый 2 8 6 2 2" xfId="2280" xr:uid="{00000000-0005-0000-0000-0000E8080000}"/>
    <cellStyle name="Финансовый 2 8 6 2 3" xfId="2281" xr:uid="{00000000-0005-0000-0000-0000E9080000}"/>
    <cellStyle name="Финансовый 2 8 6 3" xfId="2282" xr:uid="{00000000-0005-0000-0000-0000EA080000}"/>
    <cellStyle name="Финансовый 2 8 6 4" xfId="2283" xr:uid="{00000000-0005-0000-0000-0000EB080000}"/>
    <cellStyle name="Финансовый 2 8 7" xfId="2284" xr:uid="{00000000-0005-0000-0000-0000EC080000}"/>
    <cellStyle name="Финансовый 2 8 7 2" xfId="2285" xr:uid="{00000000-0005-0000-0000-0000ED080000}"/>
    <cellStyle name="Финансовый 2 8 7 2 2" xfId="2286" xr:uid="{00000000-0005-0000-0000-0000EE080000}"/>
    <cellStyle name="Финансовый 2 8 7 2 3" xfId="2287" xr:uid="{00000000-0005-0000-0000-0000EF080000}"/>
    <cellStyle name="Финансовый 2 8 7 3" xfId="2288" xr:uid="{00000000-0005-0000-0000-0000F0080000}"/>
    <cellStyle name="Финансовый 2 8 7 4" xfId="2289" xr:uid="{00000000-0005-0000-0000-0000F1080000}"/>
    <cellStyle name="Финансовый 2 8 8" xfId="2290" xr:uid="{00000000-0005-0000-0000-0000F2080000}"/>
    <cellStyle name="Финансовый 2 8 8 2" xfId="2291" xr:uid="{00000000-0005-0000-0000-0000F3080000}"/>
    <cellStyle name="Финансовый 2 8 8 2 2" xfId="2292" xr:uid="{00000000-0005-0000-0000-0000F4080000}"/>
    <cellStyle name="Финансовый 2 8 8 2 3" xfId="2293" xr:uid="{00000000-0005-0000-0000-0000F5080000}"/>
    <cellStyle name="Финансовый 2 8 8 3" xfId="2294" xr:uid="{00000000-0005-0000-0000-0000F6080000}"/>
    <cellStyle name="Финансовый 2 8 8 4" xfId="2295" xr:uid="{00000000-0005-0000-0000-0000F7080000}"/>
    <cellStyle name="Финансовый 2 8 9" xfId="2296" xr:uid="{00000000-0005-0000-0000-0000F8080000}"/>
    <cellStyle name="Финансовый 2 8 9 2" xfId="2297" xr:uid="{00000000-0005-0000-0000-0000F9080000}"/>
    <cellStyle name="Финансовый 2 8 9 3" xfId="2298" xr:uid="{00000000-0005-0000-0000-0000FA080000}"/>
    <cellStyle name="Финансовый 2 9" xfId="2299" xr:uid="{00000000-0005-0000-0000-0000FB080000}"/>
    <cellStyle name="Финансовый 2 9 2" xfId="2300" xr:uid="{00000000-0005-0000-0000-0000FC080000}"/>
    <cellStyle name="Финансовый 2 9 3" xfId="2301" xr:uid="{00000000-0005-0000-0000-0000FD080000}"/>
    <cellStyle name="Финансовый 20" xfId="2302" xr:uid="{00000000-0005-0000-0000-0000FE080000}"/>
    <cellStyle name="Финансовый 21" xfId="2303" xr:uid="{00000000-0005-0000-0000-0000FF080000}"/>
    <cellStyle name="Финансовый 3" xfId="2304" xr:uid="{00000000-0005-0000-0000-000000090000}"/>
    <cellStyle name="Финансовый 3 10" xfId="2305" xr:uid="{00000000-0005-0000-0000-000001090000}"/>
    <cellStyle name="Финансовый 3 10 2" xfId="2306" xr:uid="{00000000-0005-0000-0000-000002090000}"/>
    <cellStyle name="Финансовый 3 10 2 2" xfId="2307" xr:uid="{00000000-0005-0000-0000-000003090000}"/>
    <cellStyle name="Финансовый 3 10 2 3" xfId="2308" xr:uid="{00000000-0005-0000-0000-000004090000}"/>
    <cellStyle name="Финансовый 3 10 3" xfId="2309" xr:uid="{00000000-0005-0000-0000-000005090000}"/>
    <cellStyle name="Финансовый 3 10 4" xfId="2310" xr:uid="{00000000-0005-0000-0000-000006090000}"/>
    <cellStyle name="Финансовый 3 11" xfId="2311" xr:uid="{00000000-0005-0000-0000-000007090000}"/>
    <cellStyle name="Финансовый 3 11 2" xfId="2312" xr:uid="{00000000-0005-0000-0000-000008090000}"/>
    <cellStyle name="Финансовый 3 11 2 2" xfId="2313" xr:uid="{00000000-0005-0000-0000-000009090000}"/>
    <cellStyle name="Финансовый 3 11 2 3" xfId="2314" xr:uid="{00000000-0005-0000-0000-00000A090000}"/>
    <cellStyle name="Финансовый 3 11 3" xfId="2315" xr:uid="{00000000-0005-0000-0000-00000B090000}"/>
    <cellStyle name="Финансовый 3 11 4" xfId="2316" xr:uid="{00000000-0005-0000-0000-00000C090000}"/>
    <cellStyle name="Финансовый 3 12" xfId="2317" xr:uid="{00000000-0005-0000-0000-00000D090000}"/>
    <cellStyle name="Финансовый 3 12 2" xfId="2318" xr:uid="{00000000-0005-0000-0000-00000E090000}"/>
    <cellStyle name="Финансовый 3 12 2 2" xfId="2319" xr:uid="{00000000-0005-0000-0000-00000F090000}"/>
    <cellStyle name="Финансовый 3 12 2 3" xfId="2320" xr:uid="{00000000-0005-0000-0000-000010090000}"/>
    <cellStyle name="Финансовый 3 12 3" xfId="2321" xr:uid="{00000000-0005-0000-0000-000011090000}"/>
    <cellStyle name="Финансовый 3 12 4" xfId="2322" xr:uid="{00000000-0005-0000-0000-000012090000}"/>
    <cellStyle name="Финансовый 3 13" xfId="2323" xr:uid="{00000000-0005-0000-0000-000013090000}"/>
    <cellStyle name="Финансовый 3 13 2" xfId="2324" xr:uid="{00000000-0005-0000-0000-000014090000}"/>
    <cellStyle name="Финансовый 3 13 3" xfId="2325" xr:uid="{00000000-0005-0000-0000-000015090000}"/>
    <cellStyle name="Финансовый 3 14" xfId="2326" xr:uid="{00000000-0005-0000-0000-000016090000}"/>
    <cellStyle name="Финансовый 3 15" xfId="2327" xr:uid="{00000000-0005-0000-0000-000017090000}"/>
    <cellStyle name="Финансовый 3 16" xfId="2328" xr:uid="{00000000-0005-0000-0000-000018090000}"/>
    <cellStyle name="Финансовый 3 17" xfId="2329" xr:uid="{00000000-0005-0000-0000-000019090000}"/>
    <cellStyle name="Финансовый 3 2" xfId="2330" xr:uid="{00000000-0005-0000-0000-00001A090000}"/>
    <cellStyle name="Финансовый 3 2 10" xfId="2331" xr:uid="{00000000-0005-0000-0000-00001B090000}"/>
    <cellStyle name="Финансовый 3 2 10 2" xfId="2332" xr:uid="{00000000-0005-0000-0000-00001C090000}"/>
    <cellStyle name="Финансовый 3 2 10 2 2" xfId="2333" xr:uid="{00000000-0005-0000-0000-00001D090000}"/>
    <cellStyle name="Финансовый 3 2 10 2 3" xfId="2334" xr:uid="{00000000-0005-0000-0000-00001E090000}"/>
    <cellStyle name="Финансовый 3 2 10 3" xfId="2335" xr:uid="{00000000-0005-0000-0000-00001F090000}"/>
    <cellStyle name="Финансовый 3 2 10 4" xfId="2336" xr:uid="{00000000-0005-0000-0000-000020090000}"/>
    <cellStyle name="Финансовый 3 2 11" xfId="2337" xr:uid="{00000000-0005-0000-0000-000021090000}"/>
    <cellStyle name="Финансовый 3 2 11 2" xfId="2338" xr:uid="{00000000-0005-0000-0000-000022090000}"/>
    <cellStyle name="Финансовый 3 2 11 2 2" xfId="2339" xr:uid="{00000000-0005-0000-0000-000023090000}"/>
    <cellStyle name="Финансовый 3 2 11 2 3" xfId="2340" xr:uid="{00000000-0005-0000-0000-000024090000}"/>
    <cellStyle name="Финансовый 3 2 11 3" xfId="2341" xr:uid="{00000000-0005-0000-0000-000025090000}"/>
    <cellStyle name="Финансовый 3 2 11 4" xfId="2342" xr:uid="{00000000-0005-0000-0000-000026090000}"/>
    <cellStyle name="Финансовый 3 2 12" xfId="2343" xr:uid="{00000000-0005-0000-0000-000027090000}"/>
    <cellStyle name="Финансовый 3 2 12 2" xfId="2344" xr:uid="{00000000-0005-0000-0000-000028090000}"/>
    <cellStyle name="Финансовый 3 2 12 3" xfId="2345" xr:uid="{00000000-0005-0000-0000-000029090000}"/>
    <cellStyle name="Финансовый 3 2 13" xfId="2346" xr:uid="{00000000-0005-0000-0000-00002A090000}"/>
    <cellStyle name="Финансовый 3 2 14" xfId="2347" xr:uid="{00000000-0005-0000-0000-00002B090000}"/>
    <cellStyle name="Финансовый 3 2 15" xfId="2348" xr:uid="{00000000-0005-0000-0000-00002C090000}"/>
    <cellStyle name="Финансовый 3 2 16" xfId="2349" xr:uid="{00000000-0005-0000-0000-00002D090000}"/>
    <cellStyle name="Финансовый 3 2 2" xfId="2350" xr:uid="{00000000-0005-0000-0000-00002E090000}"/>
    <cellStyle name="Финансовый 3 2 2 10" xfId="2351" xr:uid="{00000000-0005-0000-0000-00002F090000}"/>
    <cellStyle name="Финансовый 3 2 2 10 2" xfId="2352" xr:uid="{00000000-0005-0000-0000-000030090000}"/>
    <cellStyle name="Финансовый 3 2 2 10 3" xfId="2353" xr:uid="{00000000-0005-0000-0000-000031090000}"/>
    <cellStyle name="Финансовый 3 2 2 11" xfId="2354" xr:uid="{00000000-0005-0000-0000-000032090000}"/>
    <cellStyle name="Финансовый 3 2 2 12" xfId="2355" xr:uid="{00000000-0005-0000-0000-000033090000}"/>
    <cellStyle name="Финансовый 3 2 2 13" xfId="2356" xr:uid="{00000000-0005-0000-0000-000034090000}"/>
    <cellStyle name="Финансовый 3 2 2 14" xfId="2357" xr:uid="{00000000-0005-0000-0000-000035090000}"/>
    <cellStyle name="Финансовый 3 2 2 2" xfId="2358" xr:uid="{00000000-0005-0000-0000-000036090000}"/>
    <cellStyle name="Финансовый 3 2 2 2 10" xfId="2359" xr:uid="{00000000-0005-0000-0000-000037090000}"/>
    <cellStyle name="Финансовый 3 2 2 2 11" xfId="2360" xr:uid="{00000000-0005-0000-0000-000038090000}"/>
    <cellStyle name="Финансовый 3 2 2 2 12" xfId="2361" xr:uid="{00000000-0005-0000-0000-000039090000}"/>
    <cellStyle name="Финансовый 3 2 2 2 13" xfId="2362" xr:uid="{00000000-0005-0000-0000-00003A090000}"/>
    <cellStyle name="Финансовый 3 2 2 2 2" xfId="2363" xr:uid="{00000000-0005-0000-0000-00003B090000}"/>
    <cellStyle name="Финансовый 3 2 2 2 2 2" xfId="2364" xr:uid="{00000000-0005-0000-0000-00003C090000}"/>
    <cellStyle name="Финансовый 3 2 2 2 2 2 2" xfId="2365" xr:uid="{00000000-0005-0000-0000-00003D090000}"/>
    <cellStyle name="Финансовый 3 2 2 2 2 2 2 2" xfId="2366" xr:uid="{00000000-0005-0000-0000-00003E090000}"/>
    <cellStyle name="Финансовый 3 2 2 2 2 2 2 2 2" xfId="2367" xr:uid="{00000000-0005-0000-0000-00003F090000}"/>
    <cellStyle name="Финансовый 3 2 2 2 2 2 2 2 3" xfId="2368" xr:uid="{00000000-0005-0000-0000-000040090000}"/>
    <cellStyle name="Финансовый 3 2 2 2 2 2 2 3" xfId="2369" xr:uid="{00000000-0005-0000-0000-000041090000}"/>
    <cellStyle name="Финансовый 3 2 2 2 2 2 2 4" xfId="2370" xr:uid="{00000000-0005-0000-0000-000042090000}"/>
    <cellStyle name="Финансовый 3 2 2 2 2 2 3" xfId="2371" xr:uid="{00000000-0005-0000-0000-000043090000}"/>
    <cellStyle name="Финансовый 3 2 2 2 2 2 3 2" xfId="2372" xr:uid="{00000000-0005-0000-0000-000044090000}"/>
    <cellStyle name="Финансовый 3 2 2 2 2 2 3 3" xfId="2373" xr:uid="{00000000-0005-0000-0000-000045090000}"/>
    <cellStyle name="Финансовый 3 2 2 2 2 2 4" xfId="2374" xr:uid="{00000000-0005-0000-0000-000046090000}"/>
    <cellStyle name="Финансовый 3 2 2 2 2 2 5" xfId="2375" xr:uid="{00000000-0005-0000-0000-000047090000}"/>
    <cellStyle name="Финансовый 3 2 2 2 2 3" xfId="2376" xr:uid="{00000000-0005-0000-0000-000048090000}"/>
    <cellStyle name="Финансовый 3 2 2 2 2 3 2" xfId="2377" xr:uid="{00000000-0005-0000-0000-000049090000}"/>
    <cellStyle name="Финансовый 3 2 2 2 2 3 2 2" xfId="2378" xr:uid="{00000000-0005-0000-0000-00004A090000}"/>
    <cellStyle name="Финансовый 3 2 2 2 2 3 2 2 2" xfId="2379" xr:uid="{00000000-0005-0000-0000-00004B090000}"/>
    <cellStyle name="Финансовый 3 2 2 2 2 3 2 2 3" xfId="2380" xr:uid="{00000000-0005-0000-0000-00004C090000}"/>
    <cellStyle name="Финансовый 3 2 2 2 2 3 2 3" xfId="2381" xr:uid="{00000000-0005-0000-0000-00004D090000}"/>
    <cellStyle name="Финансовый 3 2 2 2 2 3 2 4" xfId="2382" xr:uid="{00000000-0005-0000-0000-00004E090000}"/>
    <cellStyle name="Финансовый 3 2 2 2 2 3 3" xfId="2383" xr:uid="{00000000-0005-0000-0000-00004F090000}"/>
    <cellStyle name="Финансовый 3 2 2 2 2 3 3 2" xfId="2384" xr:uid="{00000000-0005-0000-0000-000050090000}"/>
    <cellStyle name="Финансовый 3 2 2 2 2 3 3 3" xfId="2385" xr:uid="{00000000-0005-0000-0000-000051090000}"/>
    <cellStyle name="Финансовый 3 2 2 2 2 3 4" xfId="2386" xr:uid="{00000000-0005-0000-0000-000052090000}"/>
    <cellStyle name="Финансовый 3 2 2 2 2 3 5" xfId="2387" xr:uid="{00000000-0005-0000-0000-000053090000}"/>
    <cellStyle name="Финансовый 3 2 2 2 2 4" xfId="2388" xr:uid="{00000000-0005-0000-0000-000054090000}"/>
    <cellStyle name="Финансовый 3 2 2 2 2 4 2" xfId="2389" xr:uid="{00000000-0005-0000-0000-000055090000}"/>
    <cellStyle name="Финансовый 3 2 2 2 2 4 2 2" xfId="2390" xr:uid="{00000000-0005-0000-0000-000056090000}"/>
    <cellStyle name="Финансовый 3 2 2 2 2 4 2 3" xfId="2391" xr:uid="{00000000-0005-0000-0000-000057090000}"/>
    <cellStyle name="Финансовый 3 2 2 2 2 4 3" xfId="2392" xr:uid="{00000000-0005-0000-0000-000058090000}"/>
    <cellStyle name="Финансовый 3 2 2 2 2 4 4" xfId="2393" xr:uid="{00000000-0005-0000-0000-000059090000}"/>
    <cellStyle name="Финансовый 3 2 2 2 2 5" xfId="2394" xr:uid="{00000000-0005-0000-0000-00005A090000}"/>
    <cellStyle name="Финансовый 3 2 2 2 2 5 2" xfId="2395" xr:uid="{00000000-0005-0000-0000-00005B090000}"/>
    <cellStyle name="Финансовый 3 2 2 2 2 5 3" xfId="2396" xr:uid="{00000000-0005-0000-0000-00005C090000}"/>
    <cellStyle name="Финансовый 3 2 2 2 2 6" xfId="2397" xr:uid="{00000000-0005-0000-0000-00005D090000}"/>
    <cellStyle name="Финансовый 3 2 2 2 2 7" xfId="2398" xr:uid="{00000000-0005-0000-0000-00005E090000}"/>
    <cellStyle name="Финансовый 3 2 2 2 2 8" xfId="2399" xr:uid="{00000000-0005-0000-0000-00005F090000}"/>
    <cellStyle name="Финансовый 3 2 2 2 3" xfId="2400" xr:uid="{00000000-0005-0000-0000-000060090000}"/>
    <cellStyle name="Финансовый 3 2 2 2 3 2" xfId="2401" xr:uid="{00000000-0005-0000-0000-000061090000}"/>
    <cellStyle name="Финансовый 3 2 2 2 3 2 2" xfId="2402" xr:uid="{00000000-0005-0000-0000-000062090000}"/>
    <cellStyle name="Финансовый 3 2 2 2 3 2 2 2" xfId="2403" xr:uid="{00000000-0005-0000-0000-000063090000}"/>
    <cellStyle name="Финансовый 3 2 2 2 3 2 2 3" xfId="2404" xr:uid="{00000000-0005-0000-0000-000064090000}"/>
    <cellStyle name="Финансовый 3 2 2 2 3 2 3" xfId="2405" xr:uid="{00000000-0005-0000-0000-000065090000}"/>
    <cellStyle name="Финансовый 3 2 2 2 3 2 4" xfId="2406" xr:uid="{00000000-0005-0000-0000-000066090000}"/>
    <cellStyle name="Финансовый 3 2 2 2 3 3" xfId="2407" xr:uid="{00000000-0005-0000-0000-000067090000}"/>
    <cellStyle name="Финансовый 3 2 2 2 3 3 2" xfId="2408" xr:uid="{00000000-0005-0000-0000-000068090000}"/>
    <cellStyle name="Финансовый 3 2 2 2 3 3 3" xfId="2409" xr:uid="{00000000-0005-0000-0000-000069090000}"/>
    <cellStyle name="Финансовый 3 2 2 2 3 4" xfId="2410" xr:uid="{00000000-0005-0000-0000-00006A090000}"/>
    <cellStyle name="Финансовый 3 2 2 2 3 5" xfId="2411" xr:uid="{00000000-0005-0000-0000-00006B090000}"/>
    <cellStyle name="Финансовый 3 2 2 2 4" xfId="2412" xr:uid="{00000000-0005-0000-0000-00006C090000}"/>
    <cellStyle name="Финансовый 3 2 2 2 4 2" xfId="2413" xr:uid="{00000000-0005-0000-0000-00006D090000}"/>
    <cellStyle name="Финансовый 3 2 2 2 4 2 2" xfId="2414" xr:uid="{00000000-0005-0000-0000-00006E090000}"/>
    <cellStyle name="Финансовый 3 2 2 2 4 2 2 2" xfId="2415" xr:uid="{00000000-0005-0000-0000-00006F090000}"/>
    <cellStyle name="Финансовый 3 2 2 2 4 2 2 3" xfId="2416" xr:uid="{00000000-0005-0000-0000-000070090000}"/>
    <cellStyle name="Финансовый 3 2 2 2 4 2 3" xfId="2417" xr:uid="{00000000-0005-0000-0000-000071090000}"/>
    <cellStyle name="Финансовый 3 2 2 2 4 2 4" xfId="2418" xr:uid="{00000000-0005-0000-0000-000072090000}"/>
    <cellStyle name="Финансовый 3 2 2 2 4 3" xfId="2419" xr:uid="{00000000-0005-0000-0000-000073090000}"/>
    <cellStyle name="Финансовый 3 2 2 2 4 3 2" xfId="2420" xr:uid="{00000000-0005-0000-0000-000074090000}"/>
    <cellStyle name="Финансовый 3 2 2 2 4 3 3" xfId="2421" xr:uid="{00000000-0005-0000-0000-000075090000}"/>
    <cellStyle name="Финансовый 3 2 2 2 4 4" xfId="2422" xr:uid="{00000000-0005-0000-0000-000076090000}"/>
    <cellStyle name="Финансовый 3 2 2 2 4 5" xfId="2423" xr:uid="{00000000-0005-0000-0000-000077090000}"/>
    <cellStyle name="Финансовый 3 2 2 2 5" xfId="2424" xr:uid="{00000000-0005-0000-0000-000078090000}"/>
    <cellStyle name="Финансовый 3 2 2 2 5 2" xfId="2425" xr:uid="{00000000-0005-0000-0000-000079090000}"/>
    <cellStyle name="Финансовый 3 2 2 2 5 2 2" xfId="2426" xr:uid="{00000000-0005-0000-0000-00007A090000}"/>
    <cellStyle name="Финансовый 3 2 2 2 5 2 3" xfId="2427" xr:uid="{00000000-0005-0000-0000-00007B090000}"/>
    <cellStyle name="Финансовый 3 2 2 2 5 3" xfId="2428" xr:uid="{00000000-0005-0000-0000-00007C090000}"/>
    <cellStyle name="Финансовый 3 2 2 2 5 4" xfId="2429" xr:uid="{00000000-0005-0000-0000-00007D090000}"/>
    <cellStyle name="Финансовый 3 2 2 2 6" xfId="2430" xr:uid="{00000000-0005-0000-0000-00007E090000}"/>
    <cellStyle name="Финансовый 3 2 2 2 6 2" xfId="2431" xr:uid="{00000000-0005-0000-0000-00007F090000}"/>
    <cellStyle name="Финансовый 3 2 2 2 6 2 2" xfId="2432" xr:uid="{00000000-0005-0000-0000-000080090000}"/>
    <cellStyle name="Финансовый 3 2 2 2 6 2 3" xfId="2433" xr:uid="{00000000-0005-0000-0000-000081090000}"/>
    <cellStyle name="Финансовый 3 2 2 2 6 3" xfId="2434" xr:uid="{00000000-0005-0000-0000-000082090000}"/>
    <cellStyle name="Финансовый 3 2 2 2 6 4" xfId="2435" xr:uid="{00000000-0005-0000-0000-000083090000}"/>
    <cellStyle name="Финансовый 3 2 2 2 7" xfId="2436" xr:uid="{00000000-0005-0000-0000-000084090000}"/>
    <cellStyle name="Финансовый 3 2 2 2 7 2" xfId="2437" xr:uid="{00000000-0005-0000-0000-000085090000}"/>
    <cellStyle name="Финансовый 3 2 2 2 7 2 2" xfId="2438" xr:uid="{00000000-0005-0000-0000-000086090000}"/>
    <cellStyle name="Финансовый 3 2 2 2 7 2 3" xfId="2439" xr:uid="{00000000-0005-0000-0000-000087090000}"/>
    <cellStyle name="Финансовый 3 2 2 2 7 3" xfId="2440" xr:uid="{00000000-0005-0000-0000-000088090000}"/>
    <cellStyle name="Финансовый 3 2 2 2 7 4" xfId="2441" xr:uid="{00000000-0005-0000-0000-000089090000}"/>
    <cellStyle name="Финансовый 3 2 2 2 8" xfId="2442" xr:uid="{00000000-0005-0000-0000-00008A090000}"/>
    <cellStyle name="Финансовый 3 2 2 2 8 2" xfId="2443" xr:uid="{00000000-0005-0000-0000-00008B090000}"/>
    <cellStyle name="Финансовый 3 2 2 2 8 2 2" xfId="2444" xr:uid="{00000000-0005-0000-0000-00008C090000}"/>
    <cellStyle name="Финансовый 3 2 2 2 8 2 3" xfId="2445" xr:uid="{00000000-0005-0000-0000-00008D090000}"/>
    <cellStyle name="Финансовый 3 2 2 2 8 3" xfId="2446" xr:uid="{00000000-0005-0000-0000-00008E090000}"/>
    <cellStyle name="Финансовый 3 2 2 2 8 4" xfId="2447" xr:uid="{00000000-0005-0000-0000-00008F090000}"/>
    <cellStyle name="Финансовый 3 2 2 2 9" xfId="2448" xr:uid="{00000000-0005-0000-0000-000090090000}"/>
    <cellStyle name="Финансовый 3 2 2 2 9 2" xfId="2449" xr:uid="{00000000-0005-0000-0000-000091090000}"/>
    <cellStyle name="Финансовый 3 2 2 2 9 3" xfId="2450" xr:uid="{00000000-0005-0000-0000-000092090000}"/>
    <cellStyle name="Финансовый 3 2 2 3" xfId="2451" xr:uid="{00000000-0005-0000-0000-000093090000}"/>
    <cellStyle name="Финансовый 3 2 2 3 2" xfId="2452" xr:uid="{00000000-0005-0000-0000-000094090000}"/>
    <cellStyle name="Финансовый 3 2 2 3 2 2" xfId="2453" xr:uid="{00000000-0005-0000-0000-000095090000}"/>
    <cellStyle name="Финансовый 3 2 2 3 2 2 2" xfId="2454" xr:uid="{00000000-0005-0000-0000-000096090000}"/>
    <cellStyle name="Финансовый 3 2 2 3 2 2 2 2" xfId="2455" xr:uid="{00000000-0005-0000-0000-000097090000}"/>
    <cellStyle name="Финансовый 3 2 2 3 2 2 2 3" xfId="2456" xr:uid="{00000000-0005-0000-0000-000098090000}"/>
    <cellStyle name="Финансовый 3 2 2 3 2 2 3" xfId="2457" xr:uid="{00000000-0005-0000-0000-000099090000}"/>
    <cellStyle name="Финансовый 3 2 2 3 2 2 4" xfId="2458" xr:uid="{00000000-0005-0000-0000-00009A090000}"/>
    <cellStyle name="Финансовый 3 2 2 3 2 3" xfId="2459" xr:uid="{00000000-0005-0000-0000-00009B090000}"/>
    <cellStyle name="Финансовый 3 2 2 3 2 3 2" xfId="2460" xr:uid="{00000000-0005-0000-0000-00009C090000}"/>
    <cellStyle name="Финансовый 3 2 2 3 2 3 3" xfId="2461" xr:uid="{00000000-0005-0000-0000-00009D090000}"/>
    <cellStyle name="Финансовый 3 2 2 3 2 4" xfId="2462" xr:uid="{00000000-0005-0000-0000-00009E090000}"/>
    <cellStyle name="Финансовый 3 2 2 3 2 5" xfId="2463" xr:uid="{00000000-0005-0000-0000-00009F090000}"/>
    <cellStyle name="Финансовый 3 2 2 3 3" xfId="2464" xr:uid="{00000000-0005-0000-0000-0000A0090000}"/>
    <cellStyle name="Финансовый 3 2 2 3 3 2" xfId="2465" xr:uid="{00000000-0005-0000-0000-0000A1090000}"/>
    <cellStyle name="Финансовый 3 2 2 3 3 2 2" xfId="2466" xr:uid="{00000000-0005-0000-0000-0000A2090000}"/>
    <cellStyle name="Финансовый 3 2 2 3 3 2 2 2" xfId="2467" xr:uid="{00000000-0005-0000-0000-0000A3090000}"/>
    <cellStyle name="Финансовый 3 2 2 3 3 2 2 3" xfId="2468" xr:uid="{00000000-0005-0000-0000-0000A4090000}"/>
    <cellStyle name="Финансовый 3 2 2 3 3 2 3" xfId="2469" xr:uid="{00000000-0005-0000-0000-0000A5090000}"/>
    <cellStyle name="Финансовый 3 2 2 3 3 2 4" xfId="2470" xr:uid="{00000000-0005-0000-0000-0000A6090000}"/>
    <cellStyle name="Финансовый 3 2 2 3 3 3" xfId="2471" xr:uid="{00000000-0005-0000-0000-0000A7090000}"/>
    <cellStyle name="Финансовый 3 2 2 3 3 3 2" xfId="2472" xr:uid="{00000000-0005-0000-0000-0000A8090000}"/>
    <cellStyle name="Финансовый 3 2 2 3 3 3 3" xfId="2473" xr:uid="{00000000-0005-0000-0000-0000A9090000}"/>
    <cellStyle name="Финансовый 3 2 2 3 3 4" xfId="2474" xr:uid="{00000000-0005-0000-0000-0000AA090000}"/>
    <cellStyle name="Финансовый 3 2 2 3 3 5" xfId="2475" xr:uid="{00000000-0005-0000-0000-0000AB090000}"/>
    <cellStyle name="Финансовый 3 2 2 3 4" xfId="2476" xr:uid="{00000000-0005-0000-0000-0000AC090000}"/>
    <cellStyle name="Финансовый 3 2 2 3 4 2" xfId="2477" xr:uid="{00000000-0005-0000-0000-0000AD090000}"/>
    <cellStyle name="Финансовый 3 2 2 3 4 2 2" xfId="2478" xr:uid="{00000000-0005-0000-0000-0000AE090000}"/>
    <cellStyle name="Финансовый 3 2 2 3 4 2 3" xfId="2479" xr:uid="{00000000-0005-0000-0000-0000AF090000}"/>
    <cellStyle name="Финансовый 3 2 2 3 4 3" xfId="2480" xr:uid="{00000000-0005-0000-0000-0000B0090000}"/>
    <cellStyle name="Финансовый 3 2 2 3 4 4" xfId="2481" xr:uid="{00000000-0005-0000-0000-0000B1090000}"/>
    <cellStyle name="Финансовый 3 2 2 3 5" xfId="2482" xr:uid="{00000000-0005-0000-0000-0000B2090000}"/>
    <cellStyle name="Финансовый 3 2 2 3 5 2" xfId="2483" xr:uid="{00000000-0005-0000-0000-0000B3090000}"/>
    <cellStyle name="Финансовый 3 2 2 3 5 3" xfId="2484" xr:uid="{00000000-0005-0000-0000-0000B4090000}"/>
    <cellStyle name="Финансовый 3 2 2 3 6" xfId="2485" xr:uid="{00000000-0005-0000-0000-0000B5090000}"/>
    <cellStyle name="Финансовый 3 2 2 3 7" xfId="2486" xr:uid="{00000000-0005-0000-0000-0000B6090000}"/>
    <cellStyle name="Финансовый 3 2 2 3 8" xfId="2487" xr:uid="{00000000-0005-0000-0000-0000B7090000}"/>
    <cellStyle name="Финансовый 3 2 2 4" xfId="2488" xr:uid="{00000000-0005-0000-0000-0000B8090000}"/>
    <cellStyle name="Финансовый 3 2 2 4 2" xfId="2489" xr:uid="{00000000-0005-0000-0000-0000B9090000}"/>
    <cellStyle name="Финансовый 3 2 2 4 2 2" xfId="2490" xr:uid="{00000000-0005-0000-0000-0000BA090000}"/>
    <cellStyle name="Финансовый 3 2 2 4 2 2 2" xfId="2491" xr:uid="{00000000-0005-0000-0000-0000BB090000}"/>
    <cellStyle name="Финансовый 3 2 2 4 2 2 3" xfId="2492" xr:uid="{00000000-0005-0000-0000-0000BC090000}"/>
    <cellStyle name="Финансовый 3 2 2 4 2 3" xfId="2493" xr:uid="{00000000-0005-0000-0000-0000BD090000}"/>
    <cellStyle name="Финансовый 3 2 2 4 2 4" xfId="2494" xr:uid="{00000000-0005-0000-0000-0000BE090000}"/>
    <cellStyle name="Финансовый 3 2 2 4 3" xfId="2495" xr:uid="{00000000-0005-0000-0000-0000BF090000}"/>
    <cellStyle name="Финансовый 3 2 2 4 3 2" xfId="2496" xr:uid="{00000000-0005-0000-0000-0000C0090000}"/>
    <cellStyle name="Финансовый 3 2 2 4 3 3" xfId="2497" xr:uid="{00000000-0005-0000-0000-0000C1090000}"/>
    <cellStyle name="Финансовый 3 2 2 4 4" xfId="2498" xr:uid="{00000000-0005-0000-0000-0000C2090000}"/>
    <cellStyle name="Финансовый 3 2 2 4 5" xfId="2499" xr:uid="{00000000-0005-0000-0000-0000C3090000}"/>
    <cellStyle name="Финансовый 3 2 2 5" xfId="2500" xr:uid="{00000000-0005-0000-0000-0000C4090000}"/>
    <cellStyle name="Финансовый 3 2 2 5 2" xfId="2501" xr:uid="{00000000-0005-0000-0000-0000C5090000}"/>
    <cellStyle name="Финансовый 3 2 2 5 2 2" xfId="2502" xr:uid="{00000000-0005-0000-0000-0000C6090000}"/>
    <cellStyle name="Финансовый 3 2 2 5 2 2 2" xfId="2503" xr:uid="{00000000-0005-0000-0000-0000C7090000}"/>
    <cellStyle name="Финансовый 3 2 2 5 2 2 3" xfId="2504" xr:uid="{00000000-0005-0000-0000-0000C8090000}"/>
    <cellStyle name="Финансовый 3 2 2 5 2 3" xfId="2505" xr:uid="{00000000-0005-0000-0000-0000C9090000}"/>
    <cellStyle name="Финансовый 3 2 2 5 2 4" xfId="2506" xr:uid="{00000000-0005-0000-0000-0000CA090000}"/>
    <cellStyle name="Финансовый 3 2 2 5 3" xfId="2507" xr:uid="{00000000-0005-0000-0000-0000CB090000}"/>
    <cellStyle name="Финансовый 3 2 2 5 3 2" xfId="2508" xr:uid="{00000000-0005-0000-0000-0000CC090000}"/>
    <cellStyle name="Финансовый 3 2 2 5 3 3" xfId="2509" xr:uid="{00000000-0005-0000-0000-0000CD090000}"/>
    <cellStyle name="Финансовый 3 2 2 5 4" xfId="2510" xr:uid="{00000000-0005-0000-0000-0000CE090000}"/>
    <cellStyle name="Финансовый 3 2 2 5 5" xfId="2511" xr:uid="{00000000-0005-0000-0000-0000CF090000}"/>
    <cellStyle name="Финансовый 3 2 2 6" xfId="2512" xr:uid="{00000000-0005-0000-0000-0000D0090000}"/>
    <cellStyle name="Финансовый 3 2 2 6 2" xfId="2513" xr:uid="{00000000-0005-0000-0000-0000D1090000}"/>
    <cellStyle name="Финансовый 3 2 2 6 2 2" xfId="2514" xr:uid="{00000000-0005-0000-0000-0000D2090000}"/>
    <cellStyle name="Финансовый 3 2 2 6 2 3" xfId="2515" xr:uid="{00000000-0005-0000-0000-0000D3090000}"/>
    <cellStyle name="Финансовый 3 2 2 6 3" xfId="2516" xr:uid="{00000000-0005-0000-0000-0000D4090000}"/>
    <cellStyle name="Финансовый 3 2 2 6 4" xfId="2517" xr:uid="{00000000-0005-0000-0000-0000D5090000}"/>
    <cellStyle name="Финансовый 3 2 2 7" xfId="2518" xr:uid="{00000000-0005-0000-0000-0000D6090000}"/>
    <cellStyle name="Финансовый 3 2 2 7 2" xfId="2519" xr:uid="{00000000-0005-0000-0000-0000D7090000}"/>
    <cellStyle name="Финансовый 3 2 2 7 2 2" xfId="2520" xr:uid="{00000000-0005-0000-0000-0000D8090000}"/>
    <cellStyle name="Финансовый 3 2 2 7 2 3" xfId="2521" xr:uid="{00000000-0005-0000-0000-0000D9090000}"/>
    <cellStyle name="Финансовый 3 2 2 7 3" xfId="2522" xr:uid="{00000000-0005-0000-0000-0000DA090000}"/>
    <cellStyle name="Финансовый 3 2 2 7 4" xfId="2523" xr:uid="{00000000-0005-0000-0000-0000DB090000}"/>
    <cellStyle name="Финансовый 3 2 2 8" xfId="2524" xr:uid="{00000000-0005-0000-0000-0000DC090000}"/>
    <cellStyle name="Финансовый 3 2 2 8 2" xfId="2525" xr:uid="{00000000-0005-0000-0000-0000DD090000}"/>
    <cellStyle name="Финансовый 3 2 2 8 2 2" xfId="2526" xr:uid="{00000000-0005-0000-0000-0000DE090000}"/>
    <cellStyle name="Финансовый 3 2 2 8 2 3" xfId="2527" xr:uid="{00000000-0005-0000-0000-0000DF090000}"/>
    <cellStyle name="Финансовый 3 2 2 8 3" xfId="2528" xr:uid="{00000000-0005-0000-0000-0000E0090000}"/>
    <cellStyle name="Финансовый 3 2 2 8 4" xfId="2529" xr:uid="{00000000-0005-0000-0000-0000E1090000}"/>
    <cellStyle name="Финансовый 3 2 2 9" xfId="2530" xr:uid="{00000000-0005-0000-0000-0000E2090000}"/>
    <cellStyle name="Финансовый 3 2 2 9 2" xfId="2531" xr:uid="{00000000-0005-0000-0000-0000E3090000}"/>
    <cellStyle name="Финансовый 3 2 2 9 2 2" xfId="2532" xr:uid="{00000000-0005-0000-0000-0000E4090000}"/>
    <cellStyle name="Финансовый 3 2 2 9 2 3" xfId="2533" xr:uid="{00000000-0005-0000-0000-0000E5090000}"/>
    <cellStyle name="Финансовый 3 2 2 9 3" xfId="2534" xr:uid="{00000000-0005-0000-0000-0000E6090000}"/>
    <cellStyle name="Финансовый 3 2 2 9 4" xfId="2535" xr:uid="{00000000-0005-0000-0000-0000E7090000}"/>
    <cellStyle name="Финансовый 3 2 3" xfId="2536" xr:uid="{00000000-0005-0000-0000-0000E8090000}"/>
    <cellStyle name="Финансовый 3 2 3 10" xfId="2537" xr:uid="{00000000-0005-0000-0000-0000E9090000}"/>
    <cellStyle name="Финансовый 3 2 3 11" xfId="2538" xr:uid="{00000000-0005-0000-0000-0000EA090000}"/>
    <cellStyle name="Финансовый 3 2 3 12" xfId="2539" xr:uid="{00000000-0005-0000-0000-0000EB090000}"/>
    <cellStyle name="Финансовый 3 2 3 13" xfId="2540" xr:uid="{00000000-0005-0000-0000-0000EC090000}"/>
    <cellStyle name="Финансовый 3 2 3 2" xfId="2541" xr:uid="{00000000-0005-0000-0000-0000ED090000}"/>
    <cellStyle name="Финансовый 3 2 3 2 2" xfId="2542" xr:uid="{00000000-0005-0000-0000-0000EE090000}"/>
    <cellStyle name="Финансовый 3 2 3 2 2 2" xfId="2543" xr:uid="{00000000-0005-0000-0000-0000EF090000}"/>
    <cellStyle name="Финансовый 3 2 3 2 2 2 2" xfId="2544" xr:uid="{00000000-0005-0000-0000-0000F0090000}"/>
    <cellStyle name="Финансовый 3 2 3 2 2 2 2 2" xfId="2545" xr:uid="{00000000-0005-0000-0000-0000F1090000}"/>
    <cellStyle name="Финансовый 3 2 3 2 2 2 2 3" xfId="2546" xr:uid="{00000000-0005-0000-0000-0000F2090000}"/>
    <cellStyle name="Финансовый 3 2 3 2 2 2 3" xfId="2547" xr:uid="{00000000-0005-0000-0000-0000F3090000}"/>
    <cellStyle name="Финансовый 3 2 3 2 2 2 4" xfId="2548" xr:uid="{00000000-0005-0000-0000-0000F4090000}"/>
    <cellStyle name="Финансовый 3 2 3 2 2 3" xfId="2549" xr:uid="{00000000-0005-0000-0000-0000F5090000}"/>
    <cellStyle name="Финансовый 3 2 3 2 2 3 2" xfId="2550" xr:uid="{00000000-0005-0000-0000-0000F6090000}"/>
    <cellStyle name="Финансовый 3 2 3 2 2 3 3" xfId="2551" xr:uid="{00000000-0005-0000-0000-0000F7090000}"/>
    <cellStyle name="Финансовый 3 2 3 2 2 4" xfId="2552" xr:uid="{00000000-0005-0000-0000-0000F8090000}"/>
    <cellStyle name="Финансовый 3 2 3 2 2 5" xfId="2553" xr:uid="{00000000-0005-0000-0000-0000F9090000}"/>
    <cellStyle name="Финансовый 3 2 3 2 3" xfId="2554" xr:uid="{00000000-0005-0000-0000-0000FA090000}"/>
    <cellStyle name="Финансовый 3 2 3 2 3 2" xfId="2555" xr:uid="{00000000-0005-0000-0000-0000FB090000}"/>
    <cellStyle name="Финансовый 3 2 3 2 3 2 2" xfId="2556" xr:uid="{00000000-0005-0000-0000-0000FC090000}"/>
    <cellStyle name="Финансовый 3 2 3 2 3 2 2 2" xfId="2557" xr:uid="{00000000-0005-0000-0000-0000FD090000}"/>
    <cellStyle name="Финансовый 3 2 3 2 3 2 2 3" xfId="2558" xr:uid="{00000000-0005-0000-0000-0000FE090000}"/>
    <cellStyle name="Финансовый 3 2 3 2 3 2 3" xfId="2559" xr:uid="{00000000-0005-0000-0000-0000FF090000}"/>
    <cellStyle name="Финансовый 3 2 3 2 3 2 4" xfId="2560" xr:uid="{00000000-0005-0000-0000-0000000A0000}"/>
    <cellStyle name="Финансовый 3 2 3 2 3 3" xfId="2561" xr:uid="{00000000-0005-0000-0000-0000010A0000}"/>
    <cellStyle name="Финансовый 3 2 3 2 3 3 2" xfId="2562" xr:uid="{00000000-0005-0000-0000-0000020A0000}"/>
    <cellStyle name="Финансовый 3 2 3 2 3 3 3" xfId="2563" xr:uid="{00000000-0005-0000-0000-0000030A0000}"/>
    <cellStyle name="Финансовый 3 2 3 2 3 4" xfId="2564" xr:uid="{00000000-0005-0000-0000-0000040A0000}"/>
    <cellStyle name="Финансовый 3 2 3 2 3 5" xfId="2565" xr:uid="{00000000-0005-0000-0000-0000050A0000}"/>
    <cellStyle name="Финансовый 3 2 3 2 4" xfId="2566" xr:uid="{00000000-0005-0000-0000-0000060A0000}"/>
    <cellStyle name="Финансовый 3 2 3 2 4 2" xfId="2567" xr:uid="{00000000-0005-0000-0000-0000070A0000}"/>
    <cellStyle name="Финансовый 3 2 3 2 4 2 2" xfId="2568" xr:uid="{00000000-0005-0000-0000-0000080A0000}"/>
    <cellStyle name="Финансовый 3 2 3 2 4 2 3" xfId="2569" xr:uid="{00000000-0005-0000-0000-0000090A0000}"/>
    <cellStyle name="Финансовый 3 2 3 2 4 3" xfId="2570" xr:uid="{00000000-0005-0000-0000-00000A0A0000}"/>
    <cellStyle name="Финансовый 3 2 3 2 4 4" xfId="2571" xr:uid="{00000000-0005-0000-0000-00000B0A0000}"/>
    <cellStyle name="Финансовый 3 2 3 2 5" xfId="2572" xr:uid="{00000000-0005-0000-0000-00000C0A0000}"/>
    <cellStyle name="Финансовый 3 2 3 2 5 2" xfId="2573" xr:uid="{00000000-0005-0000-0000-00000D0A0000}"/>
    <cellStyle name="Финансовый 3 2 3 2 5 3" xfId="2574" xr:uid="{00000000-0005-0000-0000-00000E0A0000}"/>
    <cellStyle name="Финансовый 3 2 3 2 6" xfId="2575" xr:uid="{00000000-0005-0000-0000-00000F0A0000}"/>
    <cellStyle name="Финансовый 3 2 3 2 7" xfId="2576" xr:uid="{00000000-0005-0000-0000-0000100A0000}"/>
    <cellStyle name="Финансовый 3 2 3 2 8" xfId="2577" xr:uid="{00000000-0005-0000-0000-0000110A0000}"/>
    <cellStyle name="Финансовый 3 2 3 3" xfId="2578" xr:uid="{00000000-0005-0000-0000-0000120A0000}"/>
    <cellStyle name="Финансовый 3 2 3 3 2" xfId="2579" xr:uid="{00000000-0005-0000-0000-0000130A0000}"/>
    <cellStyle name="Финансовый 3 2 3 3 2 2" xfId="2580" xr:uid="{00000000-0005-0000-0000-0000140A0000}"/>
    <cellStyle name="Финансовый 3 2 3 3 2 2 2" xfId="2581" xr:uid="{00000000-0005-0000-0000-0000150A0000}"/>
    <cellStyle name="Финансовый 3 2 3 3 2 2 3" xfId="2582" xr:uid="{00000000-0005-0000-0000-0000160A0000}"/>
    <cellStyle name="Финансовый 3 2 3 3 2 3" xfId="2583" xr:uid="{00000000-0005-0000-0000-0000170A0000}"/>
    <cellStyle name="Финансовый 3 2 3 3 2 4" xfId="2584" xr:uid="{00000000-0005-0000-0000-0000180A0000}"/>
    <cellStyle name="Финансовый 3 2 3 3 3" xfId="2585" xr:uid="{00000000-0005-0000-0000-0000190A0000}"/>
    <cellStyle name="Финансовый 3 2 3 3 3 2" xfId="2586" xr:uid="{00000000-0005-0000-0000-00001A0A0000}"/>
    <cellStyle name="Финансовый 3 2 3 3 3 3" xfId="2587" xr:uid="{00000000-0005-0000-0000-00001B0A0000}"/>
    <cellStyle name="Финансовый 3 2 3 3 4" xfId="2588" xr:uid="{00000000-0005-0000-0000-00001C0A0000}"/>
    <cellStyle name="Финансовый 3 2 3 3 5" xfId="2589" xr:uid="{00000000-0005-0000-0000-00001D0A0000}"/>
    <cellStyle name="Финансовый 3 2 3 4" xfId="2590" xr:uid="{00000000-0005-0000-0000-00001E0A0000}"/>
    <cellStyle name="Финансовый 3 2 3 4 2" xfId="2591" xr:uid="{00000000-0005-0000-0000-00001F0A0000}"/>
    <cellStyle name="Финансовый 3 2 3 4 2 2" xfId="2592" xr:uid="{00000000-0005-0000-0000-0000200A0000}"/>
    <cellStyle name="Финансовый 3 2 3 4 2 2 2" xfId="2593" xr:uid="{00000000-0005-0000-0000-0000210A0000}"/>
    <cellStyle name="Финансовый 3 2 3 4 2 2 3" xfId="2594" xr:uid="{00000000-0005-0000-0000-0000220A0000}"/>
    <cellStyle name="Финансовый 3 2 3 4 2 3" xfId="2595" xr:uid="{00000000-0005-0000-0000-0000230A0000}"/>
    <cellStyle name="Финансовый 3 2 3 4 2 4" xfId="2596" xr:uid="{00000000-0005-0000-0000-0000240A0000}"/>
    <cellStyle name="Финансовый 3 2 3 4 3" xfId="2597" xr:uid="{00000000-0005-0000-0000-0000250A0000}"/>
    <cellStyle name="Финансовый 3 2 3 4 3 2" xfId="2598" xr:uid="{00000000-0005-0000-0000-0000260A0000}"/>
    <cellStyle name="Финансовый 3 2 3 4 3 3" xfId="2599" xr:uid="{00000000-0005-0000-0000-0000270A0000}"/>
    <cellStyle name="Финансовый 3 2 3 4 4" xfId="2600" xr:uid="{00000000-0005-0000-0000-0000280A0000}"/>
    <cellStyle name="Финансовый 3 2 3 4 5" xfId="2601" xr:uid="{00000000-0005-0000-0000-0000290A0000}"/>
    <cellStyle name="Финансовый 3 2 3 5" xfId="2602" xr:uid="{00000000-0005-0000-0000-00002A0A0000}"/>
    <cellStyle name="Финансовый 3 2 3 5 2" xfId="2603" xr:uid="{00000000-0005-0000-0000-00002B0A0000}"/>
    <cellStyle name="Финансовый 3 2 3 5 2 2" xfId="2604" xr:uid="{00000000-0005-0000-0000-00002C0A0000}"/>
    <cellStyle name="Финансовый 3 2 3 5 2 3" xfId="2605" xr:uid="{00000000-0005-0000-0000-00002D0A0000}"/>
    <cellStyle name="Финансовый 3 2 3 5 3" xfId="2606" xr:uid="{00000000-0005-0000-0000-00002E0A0000}"/>
    <cellStyle name="Финансовый 3 2 3 5 4" xfId="2607" xr:uid="{00000000-0005-0000-0000-00002F0A0000}"/>
    <cellStyle name="Финансовый 3 2 3 6" xfId="2608" xr:uid="{00000000-0005-0000-0000-0000300A0000}"/>
    <cellStyle name="Финансовый 3 2 3 6 2" xfId="2609" xr:uid="{00000000-0005-0000-0000-0000310A0000}"/>
    <cellStyle name="Финансовый 3 2 3 6 2 2" xfId="2610" xr:uid="{00000000-0005-0000-0000-0000320A0000}"/>
    <cellStyle name="Финансовый 3 2 3 6 2 3" xfId="2611" xr:uid="{00000000-0005-0000-0000-0000330A0000}"/>
    <cellStyle name="Финансовый 3 2 3 6 3" xfId="2612" xr:uid="{00000000-0005-0000-0000-0000340A0000}"/>
    <cellStyle name="Финансовый 3 2 3 6 4" xfId="2613" xr:uid="{00000000-0005-0000-0000-0000350A0000}"/>
    <cellStyle name="Финансовый 3 2 3 7" xfId="2614" xr:uid="{00000000-0005-0000-0000-0000360A0000}"/>
    <cellStyle name="Финансовый 3 2 3 7 2" xfId="2615" xr:uid="{00000000-0005-0000-0000-0000370A0000}"/>
    <cellStyle name="Финансовый 3 2 3 7 2 2" xfId="2616" xr:uid="{00000000-0005-0000-0000-0000380A0000}"/>
    <cellStyle name="Финансовый 3 2 3 7 2 3" xfId="2617" xr:uid="{00000000-0005-0000-0000-0000390A0000}"/>
    <cellStyle name="Финансовый 3 2 3 7 3" xfId="2618" xr:uid="{00000000-0005-0000-0000-00003A0A0000}"/>
    <cellStyle name="Финансовый 3 2 3 7 4" xfId="2619" xr:uid="{00000000-0005-0000-0000-00003B0A0000}"/>
    <cellStyle name="Финансовый 3 2 3 8" xfId="2620" xr:uid="{00000000-0005-0000-0000-00003C0A0000}"/>
    <cellStyle name="Финансовый 3 2 3 8 2" xfId="2621" xr:uid="{00000000-0005-0000-0000-00003D0A0000}"/>
    <cellStyle name="Финансовый 3 2 3 8 2 2" xfId="2622" xr:uid="{00000000-0005-0000-0000-00003E0A0000}"/>
    <cellStyle name="Финансовый 3 2 3 8 2 3" xfId="2623" xr:uid="{00000000-0005-0000-0000-00003F0A0000}"/>
    <cellStyle name="Финансовый 3 2 3 8 3" xfId="2624" xr:uid="{00000000-0005-0000-0000-0000400A0000}"/>
    <cellStyle name="Финансовый 3 2 3 8 4" xfId="2625" xr:uid="{00000000-0005-0000-0000-0000410A0000}"/>
    <cellStyle name="Финансовый 3 2 3 9" xfId="2626" xr:uid="{00000000-0005-0000-0000-0000420A0000}"/>
    <cellStyle name="Финансовый 3 2 3 9 2" xfId="2627" xr:uid="{00000000-0005-0000-0000-0000430A0000}"/>
    <cellStyle name="Финансовый 3 2 3 9 3" xfId="2628" xr:uid="{00000000-0005-0000-0000-0000440A0000}"/>
    <cellStyle name="Финансовый 3 2 4" xfId="2629" xr:uid="{00000000-0005-0000-0000-0000450A0000}"/>
    <cellStyle name="Финансовый 3 2 4 10" xfId="2630" xr:uid="{00000000-0005-0000-0000-0000460A0000}"/>
    <cellStyle name="Финансовый 3 2 4 11" xfId="2631" xr:uid="{00000000-0005-0000-0000-0000470A0000}"/>
    <cellStyle name="Финансовый 3 2 4 12" xfId="2632" xr:uid="{00000000-0005-0000-0000-0000480A0000}"/>
    <cellStyle name="Финансовый 3 2 4 13" xfId="2633" xr:uid="{00000000-0005-0000-0000-0000490A0000}"/>
    <cellStyle name="Финансовый 3 2 4 2" xfId="2634" xr:uid="{00000000-0005-0000-0000-00004A0A0000}"/>
    <cellStyle name="Финансовый 3 2 4 2 2" xfId="2635" xr:uid="{00000000-0005-0000-0000-00004B0A0000}"/>
    <cellStyle name="Финансовый 3 2 4 2 2 2" xfId="2636" xr:uid="{00000000-0005-0000-0000-00004C0A0000}"/>
    <cellStyle name="Финансовый 3 2 4 2 2 2 2" xfId="2637" xr:uid="{00000000-0005-0000-0000-00004D0A0000}"/>
    <cellStyle name="Финансовый 3 2 4 2 2 2 2 2" xfId="2638" xr:uid="{00000000-0005-0000-0000-00004E0A0000}"/>
    <cellStyle name="Финансовый 3 2 4 2 2 2 2 3" xfId="2639" xr:uid="{00000000-0005-0000-0000-00004F0A0000}"/>
    <cellStyle name="Финансовый 3 2 4 2 2 2 3" xfId="2640" xr:uid="{00000000-0005-0000-0000-0000500A0000}"/>
    <cellStyle name="Финансовый 3 2 4 2 2 2 4" xfId="2641" xr:uid="{00000000-0005-0000-0000-0000510A0000}"/>
    <cellStyle name="Финансовый 3 2 4 2 2 3" xfId="2642" xr:uid="{00000000-0005-0000-0000-0000520A0000}"/>
    <cellStyle name="Финансовый 3 2 4 2 2 3 2" xfId="2643" xr:uid="{00000000-0005-0000-0000-0000530A0000}"/>
    <cellStyle name="Финансовый 3 2 4 2 2 3 3" xfId="2644" xr:uid="{00000000-0005-0000-0000-0000540A0000}"/>
    <cellStyle name="Финансовый 3 2 4 2 2 4" xfId="2645" xr:uid="{00000000-0005-0000-0000-0000550A0000}"/>
    <cellStyle name="Финансовый 3 2 4 2 2 5" xfId="2646" xr:uid="{00000000-0005-0000-0000-0000560A0000}"/>
    <cellStyle name="Финансовый 3 2 4 2 3" xfId="2647" xr:uid="{00000000-0005-0000-0000-0000570A0000}"/>
    <cellStyle name="Финансовый 3 2 4 2 3 2" xfId="2648" xr:uid="{00000000-0005-0000-0000-0000580A0000}"/>
    <cellStyle name="Финансовый 3 2 4 2 3 2 2" xfId="2649" xr:uid="{00000000-0005-0000-0000-0000590A0000}"/>
    <cellStyle name="Финансовый 3 2 4 2 3 2 2 2" xfId="2650" xr:uid="{00000000-0005-0000-0000-00005A0A0000}"/>
    <cellStyle name="Финансовый 3 2 4 2 3 2 2 3" xfId="2651" xr:uid="{00000000-0005-0000-0000-00005B0A0000}"/>
    <cellStyle name="Финансовый 3 2 4 2 3 2 3" xfId="2652" xr:uid="{00000000-0005-0000-0000-00005C0A0000}"/>
    <cellStyle name="Финансовый 3 2 4 2 3 2 4" xfId="2653" xr:uid="{00000000-0005-0000-0000-00005D0A0000}"/>
    <cellStyle name="Финансовый 3 2 4 2 3 3" xfId="2654" xr:uid="{00000000-0005-0000-0000-00005E0A0000}"/>
    <cellStyle name="Финансовый 3 2 4 2 3 3 2" xfId="2655" xr:uid="{00000000-0005-0000-0000-00005F0A0000}"/>
    <cellStyle name="Финансовый 3 2 4 2 3 3 3" xfId="2656" xr:uid="{00000000-0005-0000-0000-0000600A0000}"/>
    <cellStyle name="Финансовый 3 2 4 2 3 4" xfId="2657" xr:uid="{00000000-0005-0000-0000-0000610A0000}"/>
    <cellStyle name="Финансовый 3 2 4 2 3 5" xfId="2658" xr:uid="{00000000-0005-0000-0000-0000620A0000}"/>
    <cellStyle name="Финансовый 3 2 4 2 4" xfId="2659" xr:uid="{00000000-0005-0000-0000-0000630A0000}"/>
    <cellStyle name="Финансовый 3 2 4 2 4 2" xfId="2660" xr:uid="{00000000-0005-0000-0000-0000640A0000}"/>
    <cellStyle name="Финансовый 3 2 4 2 4 2 2" xfId="2661" xr:uid="{00000000-0005-0000-0000-0000650A0000}"/>
    <cellStyle name="Финансовый 3 2 4 2 4 2 3" xfId="2662" xr:uid="{00000000-0005-0000-0000-0000660A0000}"/>
    <cellStyle name="Финансовый 3 2 4 2 4 3" xfId="2663" xr:uid="{00000000-0005-0000-0000-0000670A0000}"/>
    <cellStyle name="Финансовый 3 2 4 2 4 4" xfId="2664" xr:uid="{00000000-0005-0000-0000-0000680A0000}"/>
    <cellStyle name="Финансовый 3 2 4 2 5" xfId="2665" xr:uid="{00000000-0005-0000-0000-0000690A0000}"/>
    <cellStyle name="Финансовый 3 2 4 2 5 2" xfId="2666" xr:uid="{00000000-0005-0000-0000-00006A0A0000}"/>
    <cellStyle name="Финансовый 3 2 4 2 5 3" xfId="2667" xr:uid="{00000000-0005-0000-0000-00006B0A0000}"/>
    <cellStyle name="Финансовый 3 2 4 2 6" xfId="2668" xr:uid="{00000000-0005-0000-0000-00006C0A0000}"/>
    <cellStyle name="Финансовый 3 2 4 2 7" xfId="2669" xr:uid="{00000000-0005-0000-0000-00006D0A0000}"/>
    <cellStyle name="Финансовый 3 2 4 2 8" xfId="2670" xr:uid="{00000000-0005-0000-0000-00006E0A0000}"/>
    <cellStyle name="Финансовый 3 2 4 3" xfId="2671" xr:uid="{00000000-0005-0000-0000-00006F0A0000}"/>
    <cellStyle name="Финансовый 3 2 4 3 2" xfId="2672" xr:uid="{00000000-0005-0000-0000-0000700A0000}"/>
    <cellStyle name="Финансовый 3 2 4 3 2 2" xfId="2673" xr:uid="{00000000-0005-0000-0000-0000710A0000}"/>
    <cellStyle name="Финансовый 3 2 4 3 2 2 2" xfId="2674" xr:uid="{00000000-0005-0000-0000-0000720A0000}"/>
    <cellStyle name="Финансовый 3 2 4 3 2 2 3" xfId="2675" xr:uid="{00000000-0005-0000-0000-0000730A0000}"/>
    <cellStyle name="Финансовый 3 2 4 3 2 3" xfId="2676" xr:uid="{00000000-0005-0000-0000-0000740A0000}"/>
    <cellStyle name="Финансовый 3 2 4 3 2 4" xfId="2677" xr:uid="{00000000-0005-0000-0000-0000750A0000}"/>
    <cellStyle name="Финансовый 3 2 4 3 3" xfId="2678" xr:uid="{00000000-0005-0000-0000-0000760A0000}"/>
    <cellStyle name="Финансовый 3 2 4 3 3 2" xfId="2679" xr:uid="{00000000-0005-0000-0000-0000770A0000}"/>
    <cellStyle name="Финансовый 3 2 4 3 3 3" xfId="2680" xr:uid="{00000000-0005-0000-0000-0000780A0000}"/>
    <cellStyle name="Финансовый 3 2 4 3 4" xfId="2681" xr:uid="{00000000-0005-0000-0000-0000790A0000}"/>
    <cellStyle name="Финансовый 3 2 4 3 5" xfId="2682" xr:uid="{00000000-0005-0000-0000-00007A0A0000}"/>
    <cellStyle name="Финансовый 3 2 4 4" xfId="2683" xr:uid="{00000000-0005-0000-0000-00007B0A0000}"/>
    <cellStyle name="Финансовый 3 2 4 4 2" xfId="2684" xr:uid="{00000000-0005-0000-0000-00007C0A0000}"/>
    <cellStyle name="Финансовый 3 2 4 4 2 2" xfId="2685" xr:uid="{00000000-0005-0000-0000-00007D0A0000}"/>
    <cellStyle name="Финансовый 3 2 4 4 2 2 2" xfId="2686" xr:uid="{00000000-0005-0000-0000-00007E0A0000}"/>
    <cellStyle name="Финансовый 3 2 4 4 2 2 3" xfId="2687" xr:uid="{00000000-0005-0000-0000-00007F0A0000}"/>
    <cellStyle name="Финансовый 3 2 4 4 2 3" xfId="2688" xr:uid="{00000000-0005-0000-0000-0000800A0000}"/>
    <cellStyle name="Финансовый 3 2 4 4 2 4" xfId="2689" xr:uid="{00000000-0005-0000-0000-0000810A0000}"/>
    <cellStyle name="Финансовый 3 2 4 4 3" xfId="2690" xr:uid="{00000000-0005-0000-0000-0000820A0000}"/>
    <cellStyle name="Финансовый 3 2 4 4 3 2" xfId="2691" xr:uid="{00000000-0005-0000-0000-0000830A0000}"/>
    <cellStyle name="Финансовый 3 2 4 4 3 3" xfId="2692" xr:uid="{00000000-0005-0000-0000-0000840A0000}"/>
    <cellStyle name="Финансовый 3 2 4 4 4" xfId="2693" xr:uid="{00000000-0005-0000-0000-0000850A0000}"/>
    <cellStyle name="Финансовый 3 2 4 4 5" xfId="2694" xr:uid="{00000000-0005-0000-0000-0000860A0000}"/>
    <cellStyle name="Финансовый 3 2 4 5" xfId="2695" xr:uid="{00000000-0005-0000-0000-0000870A0000}"/>
    <cellStyle name="Финансовый 3 2 4 5 2" xfId="2696" xr:uid="{00000000-0005-0000-0000-0000880A0000}"/>
    <cellStyle name="Финансовый 3 2 4 5 2 2" xfId="2697" xr:uid="{00000000-0005-0000-0000-0000890A0000}"/>
    <cellStyle name="Финансовый 3 2 4 5 2 3" xfId="2698" xr:uid="{00000000-0005-0000-0000-00008A0A0000}"/>
    <cellStyle name="Финансовый 3 2 4 5 3" xfId="2699" xr:uid="{00000000-0005-0000-0000-00008B0A0000}"/>
    <cellStyle name="Финансовый 3 2 4 5 4" xfId="2700" xr:uid="{00000000-0005-0000-0000-00008C0A0000}"/>
    <cellStyle name="Финансовый 3 2 4 6" xfId="2701" xr:uid="{00000000-0005-0000-0000-00008D0A0000}"/>
    <cellStyle name="Финансовый 3 2 4 6 2" xfId="2702" xr:uid="{00000000-0005-0000-0000-00008E0A0000}"/>
    <cellStyle name="Финансовый 3 2 4 6 2 2" xfId="2703" xr:uid="{00000000-0005-0000-0000-00008F0A0000}"/>
    <cellStyle name="Финансовый 3 2 4 6 2 3" xfId="2704" xr:uid="{00000000-0005-0000-0000-0000900A0000}"/>
    <cellStyle name="Финансовый 3 2 4 6 3" xfId="2705" xr:uid="{00000000-0005-0000-0000-0000910A0000}"/>
    <cellStyle name="Финансовый 3 2 4 6 4" xfId="2706" xr:uid="{00000000-0005-0000-0000-0000920A0000}"/>
    <cellStyle name="Финансовый 3 2 4 7" xfId="2707" xr:uid="{00000000-0005-0000-0000-0000930A0000}"/>
    <cellStyle name="Финансовый 3 2 4 7 2" xfId="2708" xr:uid="{00000000-0005-0000-0000-0000940A0000}"/>
    <cellStyle name="Финансовый 3 2 4 7 2 2" xfId="2709" xr:uid="{00000000-0005-0000-0000-0000950A0000}"/>
    <cellStyle name="Финансовый 3 2 4 7 2 3" xfId="2710" xr:uid="{00000000-0005-0000-0000-0000960A0000}"/>
    <cellStyle name="Финансовый 3 2 4 7 3" xfId="2711" xr:uid="{00000000-0005-0000-0000-0000970A0000}"/>
    <cellStyle name="Финансовый 3 2 4 7 4" xfId="2712" xr:uid="{00000000-0005-0000-0000-0000980A0000}"/>
    <cellStyle name="Финансовый 3 2 4 8" xfId="2713" xr:uid="{00000000-0005-0000-0000-0000990A0000}"/>
    <cellStyle name="Финансовый 3 2 4 8 2" xfId="2714" xr:uid="{00000000-0005-0000-0000-00009A0A0000}"/>
    <cellStyle name="Финансовый 3 2 4 8 2 2" xfId="2715" xr:uid="{00000000-0005-0000-0000-00009B0A0000}"/>
    <cellStyle name="Финансовый 3 2 4 8 2 3" xfId="2716" xr:uid="{00000000-0005-0000-0000-00009C0A0000}"/>
    <cellStyle name="Финансовый 3 2 4 8 3" xfId="2717" xr:uid="{00000000-0005-0000-0000-00009D0A0000}"/>
    <cellStyle name="Финансовый 3 2 4 8 4" xfId="2718" xr:uid="{00000000-0005-0000-0000-00009E0A0000}"/>
    <cellStyle name="Финансовый 3 2 4 9" xfId="2719" xr:uid="{00000000-0005-0000-0000-00009F0A0000}"/>
    <cellStyle name="Финансовый 3 2 4 9 2" xfId="2720" xr:uid="{00000000-0005-0000-0000-0000A00A0000}"/>
    <cellStyle name="Финансовый 3 2 4 9 3" xfId="2721" xr:uid="{00000000-0005-0000-0000-0000A10A0000}"/>
    <cellStyle name="Финансовый 3 2 5" xfId="2722" xr:uid="{00000000-0005-0000-0000-0000A20A0000}"/>
    <cellStyle name="Финансовый 3 2 5 2" xfId="2723" xr:uid="{00000000-0005-0000-0000-0000A30A0000}"/>
    <cellStyle name="Финансовый 3 2 5 2 2" xfId="2724" xr:uid="{00000000-0005-0000-0000-0000A40A0000}"/>
    <cellStyle name="Финансовый 3 2 5 2 2 2" xfId="2725" xr:uid="{00000000-0005-0000-0000-0000A50A0000}"/>
    <cellStyle name="Финансовый 3 2 5 2 2 2 2" xfId="2726" xr:uid="{00000000-0005-0000-0000-0000A60A0000}"/>
    <cellStyle name="Финансовый 3 2 5 2 2 2 3" xfId="2727" xr:uid="{00000000-0005-0000-0000-0000A70A0000}"/>
    <cellStyle name="Финансовый 3 2 5 2 2 3" xfId="2728" xr:uid="{00000000-0005-0000-0000-0000A80A0000}"/>
    <cellStyle name="Финансовый 3 2 5 2 2 4" xfId="2729" xr:uid="{00000000-0005-0000-0000-0000A90A0000}"/>
    <cellStyle name="Финансовый 3 2 5 2 3" xfId="2730" xr:uid="{00000000-0005-0000-0000-0000AA0A0000}"/>
    <cellStyle name="Финансовый 3 2 5 2 3 2" xfId="2731" xr:uid="{00000000-0005-0000-0000-0000AB0A0000}"/>
    <cellStyle name="Финансовый 3 2 5 2 3 3" xfId="2732" xr:uid="{00000000-0005-0000-0000-0000AC0A0000}"/>
    <cellStyle name="Финансовый 3 2 5 2 4" xfId="2733" xr:uid="{00000000-0005-0000-0000-0000AD0A0000}"/>
    <cellStyle name="Финансовый 3 2 5 2 5" xfId="2734" xr:uid="{00000000-0005-0000-0000-0000AE0A0000}"/>
    <cellStyle name="Финансовый 3 2 5 3" xfId="2735" xr:uid="{00000000-0005-0000-0000-0000AF0A0000}"/>
    <cellStyle name="Финансовый 3 2 5 3 2" xfId="2736" xr:uid="{00000000-0005-0000-0000-0000B00A0000}"/>
    <cellStyle name="Финансовый 3 2 5 3 2 2" xfId="2737" xr:uid="{00000000-0005-0000-0000-0000B10A0000}"/>
    <cellStyle name="Финансовый 3 2 5 3 2 2 2" xfId="2738" xr:uid="{00000000-0005-0000-0000-0000B20A0000}"/>
    <cellStyle name="Финансовый 3 2 5 3 2 2 3" xfId="2739" xr:uid="{00000000-0005-0000-0000-0000B30A0000}"/>
    <cellStyle name="Финансовый 3 2 5 3 2 3" xfId="2740" xr:uid="{00000000-0005-0000-0000-0000B40A0000}"/>
    <cellStyle name="Финансовый 3 2 5 3 2 4" xfId="2741" xr:uid="{00000000-0005-0000-0000-0000B50A0000}"/>
    <cellStyle name="Финансовый 3 2 5 3 3" xfId="2742" xr:uid="{00000000-0005-0000-0000-0000B60A0000}"/>
    <cellStyle name="Финансовый 3 2 5 3 3 2" xfId="2743" xr:uid="{00000000-0005-0000-0000-0000B70A0000}"/>
    <cellStyle name="Финансовый 3 2 5 3 3 3" xfId="2744" xr:uid="{00000000-0005-0000-0000-0000B80A0000}"/>
    <cellStyle name="Финансовый 3 2 5 3 4" xfId="2745" xr:uid="{00000000-0005-0000-0000-0000B90A0000}"/>
    <cellStyle name="Финансовый 3 2 5 3 5" xfId="2746" xr:uid="{00000000-0005-0000-0000-0000BA0A0000}"/>
    <cellStyle name="Финансовый 3 2 5 4" xfId="2747" xr:uid="{00000000-0005-0000-0000-0000BB0A0000}"/>
    <cellStyle name="Финансовый 3 2 5 4 2" xfId="2748" xr:uid="{00000000-0005-0000-0000-0000BC0A0000}"/>
    <cellStyle name="Финансовый 3 2 5 4 2 2" xfId="2749" xr:uid="{00000000-0005-0000-0000-0000BD0A0000}"/>
    <cellStyle name="Финансовый 3 2 5 4 2 3" xfId="2750" xr:uid="{00000000-0005-0000-0000-0000BE0A0000}"/>
    <cellStyle name="Финансовый 3 2 5 4 3" xfId="2751" xr:uid="{00000000-0005-0000-0000-0000BF0A0000}"/>
    <cellStyle name="Финансовый 3 2 5 4 4" xfId="2752" xr:uid="{00000000-0005-0000-0000-0000C00A0000}"/>
    <cellStyle name="Финансовый 3 2 5 5" xfId="2753" xr:uid="{00000000-0005-0000-0000-0000C10A0000}"/>
    <cellStyle name="Финансовый 3 2 5 5 2" xfId="2754" xr:uid="{00000000-0005-0000-0000-0000C20A0000}"/>
    <cellStyle name="Финансовый 3 2 5 5 3" xfId="2755" xr:uid="{00000000-0005-0000-0000-0000C30A0000}"/>
    <cellStyle name="Финансовый 3 2 5 6" xfId="2756" xr:uid="{00000000-0005-0000-0000-0000C40A0000}"/>
    <cellStyle name="Финансовый 3 2 5 7" xfId="2757" xr:uid="{00000000-0005-0000-0000-0000C50A0000}"/>
    <cellStyle name="Финансовый 3 2 5 8" xfId="2758" xr:uid="{00000000-0005-0000-0000-0000C60A0000}"/>
    <cellStyle name="Финансовый 3 2 6" xfId="2759" xr:uid="{00000000-0005-0000-0000-0000C70A0000}"/>
    <cellStyle name="Финансовый 3 2 6 2" xfId="2760" xr:uid="{00000000-0005-0000-0000-0000C80A0000}"/>
    <cellStyle name="Финансовый 3 2 6 2 2" xfId="2761" xr:uid="{00000000-0005-0000-0000-0000C90A0000}"/>
    <cellStyle name="Финансовый 3 2 6 2 2 2" xfId="2762" xr:uid="{00000000-0005-0000-0000-0000CA0A0000}"/>
    <cellStyle name="Финансовый 3 2 6 2 2 3" xfId="2763" xr:uid="{00000000-0005-0000-0000-0000CB0A0000}"/>
    <cellStyle name="Финансовый 3 2 6 2 3" xfId="2764" xr:uid="{00000000-0005-0000-0000-0000CC0A0000}"/>
    <cellStyle name="Финансовый 3 2 6 2 4" xfId="2765" xr:uid="{00000000-0005-0000-0000-0000CD0A0000}"/>
    <cellStyle name="Финансовый 3 2 6 3" xfId="2766" xr:uid="{00000000-0005-0000-0000-0000CE0A0000}"/>
    <cellStyle name="Финансовый 3 2 6 3 2" xfId="2767" xr:uid="{00000000-0005-0000-0000-0000CF0A0000}"/>
    <cellStyle name="Финансовый 3 2 6 3 3" xfId="2768" xr:uid="{00000000-0005-0000-0000-0000D00A0000}"/>
    <cellStyle name="Финансовый 3 2 6 4" xfId="2769" xr:uid="{00000000-0005-0000-0000-0000D10A0000}"/>
    <cellStyle name="Финансовый 3 2 6 5" xfId="2770" xr:uid="{00000000-0005-0000-0000-0000D20A0000}"/>
    <cellStyle name="Финансовый 3 2 7" xfId="2771" xr:uid="{00000000-0005-0000-0000-0000D30A0000}"/>
    <cellStyle name="Финансовый 3 2 7 2" xfId="2772" xr:uid="{00000000-0005-0000-0000-0000D40A0000}"/>
    <cellStyle name="Финансовый 3 2 7 2 2" xfId="2773" xr:uid="{00000000-0005-0000-0000-0000D50A0000}"/>
    <cellStyle name="Финансовый 3 2 7 2 2 2" xfId="2774" xr:uid="{00000000-0005-0000-0000-0000D60A0000}"/>
    <cellStyle name="Финансовый 3 2 7 2 2 3" xfId="2775" xr:uid="{00000000-0005-0000-0000-0000D70A0000}"/>
    <cellStyle name="Финансовый 3 2 7 2 3" xfId="2776" xr:uid="{00000000-0005-0000-0000-0000D80A0000}"/>
    <cellStyle name="Финансовый 3 2 7 2 4" xfId="2777" xr:uid="{00000000-0005-0000-0000-0000D90A0000}"/>
    <cellStyle name="Финансовый 3 2 7 3" xfId="2778" xr:uid="{00000000-0005-0000-0000-0000DA0A0000}"/>
    <cellStyle name="Финансовый 3 2 7 3 2" xfId="2779" xr:uid="{00000000-0005-0000-0000-0000DB0A0000}"/>
    <cellStyle name="Финансовый 3 2 7 3 3" xfId="2780" xr:uid="{00000000-0005-0000-0000-0000DC0A0000}"/>
    <cellStyle name="Финансовый 3 2 7 4" xfId="2781" xr:uid="{00000000-0005-0000-0000-0000DD0A0000}"/>
    <cellStyle name="Финансовый 3 2 7 5" xfId="2782" xr:uid="{00000000-0005-0000-0000-0000DE0A0000}"/>
    <cellStyle name="Финансовый 3 2 8" xfId="2783" xr:uid="{00000000-0005-0000-0000-0000DF0A0000}"/>
    <cellStyle name="Финансовый 3 2 8 2" xfId="2784" xr:uid="{00000000-0005-0000-0000-0000E00A0000}"/>
    <cellStyle name="Финансовый 3 2 8 2 2" xfId="2785" xr:uid="{00000000-0005-0000-0000-0000E10A0000}"/>
    <cellStyle name="Финансовый 3 2 8 2 3" xfId="2786" xr:uid="{00000000-0005-0000-0000-0000E20A0000}"/>
    <cellStyle name="Финансовый 3 2 8 3" xfId="2787" xr:uid="{00000000-0005-0000-0000-0000E30A0000}"/>
    <cellStyle name="Финансовый 3 2 8 4" xfId="2788" xr:uid="{00000000-0005-0000-0000-0000E40A0000}"/>
    <cellStyle name="Финансовый 3 2 9" xfId="2789" xr:uid="{00000000-0005-0000-0000-0000E50A0000}"/>
    <cellStyle name="Финансовый 3 2 9 2" xfId="2790" xr:uid="{00000000-0005-0000-0000-0000E60A0000}"/>
    <cellStyle name="Финансовый 3 2 9 2 2" xfId="2791" xr:uid="{00000000-0005-0000-0000-0000E70A0000}"/>
    <cellStyle name="Финансовый 3 2 9 2 3" xfId="2792" xr:uid="{00000000-0005-0000-0000-0000E80A0000}"/>
    <cellStyle name="Финансовый 3 2 9 3" xfId="2793" xr:uid="{00000000-0005-0000-0000-0000E90A0000}"/>
    <cellStyle name="Финансовый 3 2 9 4" xfId="2794" xr:uid="{00000000-0005-0000-0000-0000EA0A0000}"/>
    <cellStyle name="Финансовый 3 3" xfId="2795" xr:uid="{00000000-0005-0000-0000-0000EB0A0000}"/>
    <cellStyle name="Финансовый 3 3 10" xfId="2796" xr:uid="{00000000-0005-0000-0000-0000EC0A0000}"/>
    <cellStyle name="Финансовый 3 3 10 2" xfId="2797" xr:uid="{00000000-0005-0000-0000-0000ED0A0000}"/>
    <cellStyle name="Финансовый 3 3 10 3" xfId="2798" xr:uid="{00000000-0005-0000-0000-0000EE0A0000}"/>
    <cellStyle name="Финансовый 3 3 11" xfId="2799" xr:uid="{00000000-0005-0000-0000-0000EF0A0000}"/>
    <cellStyle name="Финансовый 3 3 12" xfId="2800" xr:uid="{00000000-0005-0000-0000-0000F00A0000}"/>
    <cellStyle name="Финансовый 3 3 13" xfId="2801" xr:uid="{00000000-0005-0000-0000-0000F10A0000}"/>
    <cellStyle name="Финансовый 3 3 14" xfId="2802" xr:uid="{00000000-0005-0000-0000-0000F20A0000}"/>
    <cellStyle name="Финансовый 3 3 2" xfId="2803" xr:uid="{00000000-0005-0000-0000-0000F30A0000}"/>
    <cellStyle name="Финансовый 3 3 2 10" xfId="2804" xr:uid="{00000000-0005-0000-0000-0000F40A0000}"/>
    <cellStyle name="Финансовый 3 3 2 11" xfId="2805" xr:uid="{00000000-0005-0000-0000-0000F50A0000}"/>
    <cellStyle name="Финансовый 3 3 2 12" xfId="2806" xr:uid="{00000000-0005-0000-0000-0000F60A0000}"/>
    <cellStyle name="Финансовый 3 3 2 13" xfId="2807" xr:uid="{00000000-0005-0000-0000-0000F70A0000}"/>
    <cellStyle name="Финансовый 3 3 2 2" xfId="2808" xr:uid="{00000000-0005-0000-0000-0000F80A0000}"/>
    <cellStyle name="Финансовый 3 3 2 2 2" xfId="2809" xr:uid="{00000000-0005-0000-0000-0000F90A0000}"/>
    <cellStyle name="Финансовый 3 3 2 2 2 2" xfId="2810" xr:uid="{00000000-0005-0000-0000-0000FA0A0000}"/>
    <cellStyle name="Финансовый 3 3 2 2 2 2 2" xfId="2811" xr:uid="{00000000-0005-0000-0000-0000FB0A0000}"/>
    <cellStyle name="Финансовый 3 3 2 2 2 2 2 2" xfId="2812" xr:uid="{00000000-0005-0000-0000-0000FC0A0000}"/>
    <cellStyle name="Финансовый 3 3 2 2 2 2 2 3" xfId="2813" xr:uid="{00000000-0005-0000-0000-0000FD0A0000}"/>
    <cellStyle name="Финансовый 3 3 2 2 2 2 3" xfId="2814" xr:uid="{00000000-0005-0000-0000-0000FE0A0000}"/>
    <cellStyle name="Финансовый 3 3 2 2 2 2 4" xfId="2815" xr:uid="{00000000-0005-0000-0000-0000FF0A0000}"/>
    <cellStyle name="Финансовый 3 3 2 2 2 3" xfId="2816" xr:uid="{00000000-0005-0000-0000-0000000B0000}"/>
    <cellStyle name="Финансовый 3 3 2 2 2 3 2" xfId="2817" xr:uid="{00000000-0005-0000-0000-0000010B0000}"/>
    <cellStyle name="Финансовый 3 3 2 2 2 3 3" xfId="2818" xr:uid="{00000000-0005-0000-0000-0000020B0000}"/>
    <cellStyle name="Финансовый 3 3 2 2 2 4" xfId="2819" xr:uid="{00000000-0005-0000-0000-0000030B0000}"/>
    <cellStyle name="Финансовый 3 3 2 2 2 5" xfId="2820" xr:uid="{00000000-0005-0000-0000-0000040B0000}"/>
    <cellStyle name="Финансовый 3 3 2 2 3" xfId="2821" xr:uid="{00000000-0005-0000-0000-0000050B0000}"/>
    <cellStyle name="Финансовый 3 3 2 2 3 2" xfId="2822" xr:uid="{00000000-0005-0000-0000-0000060B0000}"/>
    <cellStyle name="Финансовый 3 3 2 2 3 2 2" xfId="2823" xr:uid="{00000000-0005-0000-0000-0000070B0000}"/>
    <cellStyle name="Финансовый 3 3 2 2 3 2 2 2" xfId="2824" xr:uid="{00000000-0005-0000-0000-0000080B0000}"/>
    <cellStyle name="Финансовый 3 3 2 2 3 2 2 3" xfId="2825" xr:uid="{00000000-0005-0000-0000-0000090B0000}"/>
    <cellStyle name="Финансовый 3 3 2 2 3 2 3" xfId="2826" xr:uid="{00000000-0005-0000-0000-00000A0B0000}"/>
    <cellStyle name="Финансовый 3 3 2 2 3 2 4" xfId="2827" xr:uid="{00000000-0005-0000-0000-00000B0B0000}"/>
    <cellStyle name="Финансовый 3 3 2 2 3 3" xfId="2828" xr:uid="{00000000-0005-0000-0000-00000C0B0000}"/>
    <cellStyle name="Финансовый 3 3 2 2 3 3 2" xfId="2829" xr:uid="{00000000-0005-0000-0000-00000D0B0000}"/>
    <cellStyle name="Финансовый 3 3 2 2 3 3 3" xfId="2830" xr:uid="{00000000-0005-0000-0000-00000E0B0000}"/>
    <cellStyle name="Финансовый 3 3 2 2 3 4" xfId="2831" xr:uid="{00000000-0005-0000-0000-00000F0B0000}"/>
    <cellStyle name="Финансовый 3 3 2 2 3 5" xfId="2832" xr:uid="{00000000-0005-0000-0000-0000100B0000}"/>
    <cellStyle name="Финансовый 3 3 2 2 4" xfId="2833" xr:uid="{00000000-0005-0000-0000-0000110B0000}"/>
    <cellStyle name="Финансовый 3 3 2 2 4 2" xfId="2834" xr:uid="{00000000-0005-0000-0000-0000120B0000}"/>
    <cellStyle name="Финансовый 3 3 2 2 4 2 2" xfId="2835" xr:uid="{00000000-0005-0000-0000-0000130B0000}"/>
    <cellStyle name="Финансовый 3 3 2 2 4 2 3" xfId="2836" xr:uid="{00000000-0005-0000-0000-0000140B0000}"/>
    <cellStyle name="Финансовый 3 3 2 2 4 3" xfId="2837" xr:uid="{00000000-0005-0000-0000-0000150B0000}"/>
    <cellStyle name="Финансовый 3 3 2 2 4 4" xfId="2838" xr:uid="{00000000-0005-0000-0000-0000160B0000}"/>
    <cellStyle name="Финансовый 3 3 2 2 5" xfId="2839" xr:uid="{00000000-0005-0000-0000-0000170B0000}"/>
    <cellStyle name="Финансовый 3 3 2 2 5 2" xfId="2840" xr:uid="{00000000-0005-0000-0000-0000180B0000}"/>
    <cellStyle name="Финансовый 3 3 2 2 5 3" xfId="2841" xr:uid="{00000000-0005-0000-0000-0000190B0000}"/>
    <cellStyle name="Финансовый 3 3 2 2 6" xfId="2842" xr:uid="{00000000-0005-0000-0000-00001A0B0000}"/>
    <cellStyle name="Финансовый 3 3 2 2 7" xfId="2843" xr:uid="{00000000-0005-0000-0000-00001B0B0000}"/>
    <cellStyle name="Финансовый 3 3 2 2 8" xfId="2844" xr:uid="{00000000-0005-0000-0000-00001C0B0000}"/>
    <cellStyle name="Финансовый 3 3 2 3" xfId="2845" xr:uid="{00000000-0005-0000-0000-00001D0B0000}"/>
    <cellStyle name="Финансовый 3 3 2 3 2" xfId="2846" xr:uid="{00000000-0005-0000-0000-00001E0B0000}"/>
    <cellStyle name="Финансовый 3 3 2 3 2 2" xfId="2847" xr:uid="{00000000-0005-0000-0000-00001F0B0000}"/>
    <cellStyle name="Финансовый 3 3 2 3 2 2 2" xfId="2848" xr:uid="{00000000-0005-0000-0000-0000200B0000}"/>
    <cellStyle name="Финансовый 3 3 2 3 2 2 3" xfId="2849" xr:uid="{00000000-0005-0000-0000-0000210B0000}"/>
    <cellStyle name="Финансовый 3 3 2 3 2 3" xfId="2850" xr:uid="{00000000-0005-0000-0000-0000220B0000}"/>
    <cellStyle name="Финансовый 3 3 2 3 2 4" xfId="2851" xr:uid="{00000000-0005-0000-0000-0000230B0000}"/>
    <cellStyle name="Финансовый 3 3 2 3 3" xfId="2852" xr:uid="{00000000-0005-0000-0000-0000240B0000}"/>
    <cellStyle name="Финансовый 3 3 2 3 3 2" xfId="2853" xr:uid="{00000000-0005-0000-0000-0000250B0000}"/>
    <cellStyle name="Финансовый 3 3 2 3 3 3" xfId="2854" xr:uid="{00000000-0005-0000-0000-0000260B0000}"/>
    <cellStyle name="Финансовый 3 3 2 3 4" xfId="2855" xr:uid="{00000000-0005-0000-0000-0000270B0000}"/>
    <cellStyle name="Финансовый 3 3 2 3 5" xfId="2856" xr:uid="{00000000-0005-0000-0000-0000280B0000}"/>
    <cellStyle name="Финансовый 3 3 2 4" xfId="2857" xr:uid="{00000000-0005-0000-0000-0000290B0000}"/>
    <cellStyle name="Финансовый 3 3 2 4 2" xfId="2858" xr:uid="{00000000-0005-0000-0000-00002A0B0000}"/>
    <cellStyle name="Финансовый 3 3 2 4 2 2" xfId="2859" xr:uid="{00000000-0005-0000-0000-00002B0B0000}"/>
    <cellStyle name="Финансовый 3 3 2 4 2 2 2" xfId="2860" xr:uid="{00000000-0005-0000-0000-00002C0B0000}"/>
    <cellStyle name="Финансовый 3 3 2 4 2 2 3" xfId="2861" xr:uid="{00000000-0005-0000-0000-00002D0B0000}"/>
    <cellStyle name="Финансовый 3 3 2 4 2 3" xfId="2862" xr:uid="{00000000-0005-0000-0000-00002E0B0000}"/>
    <cellStyle name="Финансовый 3 3 2 4 2 4" xfId="2863" xr:uid="{00000000-0005-0000-0000-00002F0B0000}"/>
    <cellStyle name="Финансовый 3 3 2 4 3" xfId="2864" xr:uid="{00000000-0005-0000-0000-0000300B0000}"/>
    <cellStyle name="Финансовый 3 3 2 4 3 2" xfId="2865" xr:uid="{00000000-0005-0000-0000-0000310B0000}"/>
    <cellStyle name="Финансовый 3 3 2 4 3 3" xfId="2866" xr:uid="{00000000-0005-0000-0000-0000320B0000}"/>
    <cellStyle name="Финансовый 3 3 2 4 4" xfId="2867" xr:uid="{00000000-0005-0000-0000-0000330B0000}"/>
    <cellStyle name="Финансовый 3 3 2 4 5" xfId="2868" xr:uid="{00000000-0005-0000-0000-0000340B0000}"/>
    <cellStyle name="Финансовый 3 3 2 5" xfId="2869" xr:uid="{00000000-0005-0000-0000-0000350B0000}"/>
    <cellStyle name="Финансовый 3 3 2 5 2" xfId="2870" xr:uid="{00000000-0005-0000-0000-0000360B0000}"/>
    <cellStyle name="Финансовый 3 3 2 5 2 2" xfId="2871" xr:uid="{00000000-0005-0000-0000-0000370B0000}"/>
    <cellStyle name="Финансовый 3 3 2 5 2 3" xfId="2872" xr:uid="{00000000-0005-0000-0000-0000380B0000}"/>
    <cellStyle name="Финансовый 3 3 2 5 3" xfId="2873" xr:uid="{00000000-0005-0000-0000-0000390B0000}"/>
    <cellStyle name="Финансовый 3 3 2 5 4" xfId="2874" xr:uid="{00000000-0005-0000-0000-00003A0B0000}"/>
    <cellStyle name="Финансовый 3 3 2 6" xfId="2875" xr:uid="{00000000-0005-0000-0000-00003B0B0000}"/>
    <cellStyle name="Финансовый 3 3 2 6 2" xfId="2876" xr:uid="{00000000-0005-0000-0000-00003C0B0000}"/>
    <cellStyle name="Финансовый 3 3 2 6 2 2" xfId="2877" xr:uid="{00000000-0005-0000-0000-00003D0B0000}"/>
    <cellStyle name="Финансовый 3 3 2 6 2 3" xfId="2878" xr:uid="{00000000-0005-0000-0000-00003E0B0000}"/>
    <cellStyle name="Финансовый 3 3 2 6 3" xfId="2879" xr:uid="{00000000-0005-0000-0000-00003F0B0000}"/>
    <cellStyle name="Финансовый 3 3 2 6 4" xfId="2880" xr:uid="{00000000-0005-0000-0000-0000400B0000}"/>
    <cellStyle name="Финансовый 3 3 2 7" xfId="2881" xr:uid="{00000000-0005-0000-0000-0000410B0000}"/>
    <cellStyle name="Финансовый 3 3 2 7 2" xfId="2882" xr:uid="{00000000-0005-0000-0000-0000420B0000}"/>
    <cellStyle name="Финансовый 3 3 2 7 2 2" xfId="2883" xr:uid="{00000000-0005-0000-0000-0000430B0000}"/>
    <cellStyle name="Финансовый 3 3 2 7 2 3" xfId="2884" xr:uid="{00000000-0005-0000-0000-0000440B0000}"/>
    <cellStyle name="Финансовый 3 3 2 7 3" xfId="2885" xr:uid="{00000000-0005-0000-0000-0000450B0000}"/>
    <cellStyle name="Финансовый 3 3 2 7 4" xfId="2886" xr:uid="{00000000-0005-0000-0000-0000460B0000}"/>
    <cellStyle name="Финансовый 3 3 2 8" xfId="2887" xr:uid="{00000000-0005-0000-0000-0000470B0000}"/>
    <cellStyle name="Финансовый 3 3 2 8 2" xfId="2888" xr:uid="{00000000-0005-0000-0000-0000480B0000}"/>
    <cellStyle name="Финансовый 3 3 2 8 2 2" xfId="2889" xr:uid="{00000000-0005-0000-0000-0000490B0000}"/>
    <cellStyle name="Финансовый 3 3 2 8 2 3" xfId="2890" xr:uid="{00000000-0005-0000-0000-00004A0B0000}"/>
    <cellStyle name="Финансовый 3 3 2 8 3" xfId="2891" xr:uid="{00000000-0005-0000-0000-00004B0B0000}"/>
    <cellStyle name="Финансовый 3 3 2 8 4" xfId="2892" xr:uid="{00000000-0005-0000-0000-00004C0B0000}"/>
    <cellStyle name="Финансовый 3 3 2 9" xfId="2893" xr:uid="{00000000-0005-0000-0000-00004D0B0000}"/>
    <cellStyle name="Финансовый 3 3 2 9 2" xfId="2894" xr:uid="{00000000-0005-0000-0000-00004E0B0000}"/>
    <cellStyle name="Финансовый 3 3 2 9 3" xfId="2895" xr:uid="{00000000-0005-0000-0000-00004F0B0000}"/>
    <cellStyle name="Финансовый 3 3 3" xfId="2896" xr:uid="{00000000-0005-0000-0000-0000500B0000}"/>
    <cellStyle name="Финансовый 3 3 3 2" xfId="2897" xr:uid="{00000000-0005-0000-0000-0000510B0000}"/>
    <cellStyle name="Финансовый 3 3 3 2 2" xfId="2898" xr:uid="{00000000-0005-0000-0000-0000520B0000}"/>
    <cellStyle name="Финансовый 3 3 3 2 2 2" xfId="2899" xr:uid="{00000000-0005-0000-0000-0000530B0000}"/>
    <cellStyle name="Финансовый 3 3 3 2 2 2 2" xfId="2900" xr:uid="{00000000-0005-0000-0000-0000540B0000}"/>
    <cellStyle name="Финансовый 3 3 3 2 2 2 3" xfId="2901" xr:uid="{00000000-0005-0000-0000-0000550B0000}"/>
    <cellStyle name="Финансовый 3 3 3 2 2 3" xfId="2902" xr:uid="{00000000-0005-0000-0000-0000560B0000}"/>
    <cellStyle name="Финансовый 3 3 3 2 2 4" xfId="2903" xr:uid="{00000000-0005-0000-0000-0000570B0000}"/>
    <cellStyle name="Финансовый 3 3 3 2 3" xfId="2904" xr:uid="{00000000-0005-0000-0000-0000580B0000}"/>
    <cellStyle name="Финансовый 3 3 3 2 3 2" xfId="2905" xr:uid="{00000000-0005-0000-0000-0000590B0000}"/>
    <cellStyle name="Финансовый 3 3 3 2 3 3" xfId="2906" xr:uid="{00000000-0005-0000-0000-00005A0B0000}"/>
    <cellStyle name="Финансовый 3 3 3 2 4" xfId="2907" xr:uid="{00000000-0005-0000-0000-00005B0B0000}"/>
    <cellStyle name="Финансовый 3 3 3 2 5" xfId="2908" xr:uid="{00000000-0005-0000-0000-00005C0B0000}"/>
    <cellStyle name="Финансовый 3 3 3 3" xfId="2909" xr:uid="{00000000-0005-0000-0000-00005D0B0000}"/>
    <cellStyle name="Финансовый 3 3 3 3 2" xfId="2910" xr:uid="{00000000-0005-0000-0000-00005E0B0000}"/>
    <cellStyle name="Финансовый 3 3 3 3 2 2" xfId="2911" xr:uid="{00000000-0005-0000-0000-00005F0B0000}"/>
    <cellStyle name="Финансовый 3 3 3 3 2 2 2" xfId="2912" xr:uid="{00000000-0005-0000-0000-0000600B0000}"/>
    <cellStyle name="Финансовый 3 3 3 3 2 2 3" xfId="2913" xr:uid="{00000000-0005-0000-0000-0000610B0000}"/>
    <cellStyle name="Финансовый 3 3 3 3 2 3" xfId="2914" xr:uid="{00000000-0005-0000-0000-0000620B0000}"/>
    <cellStyle name="Финансовый 3 3 3 3 2 4" xfId="2915" xr:uid="{00000000-0005-0000-0000-0000630B0000}"/>
    <cellStyle name="Финансовый 3 3 3 3 3" xfId="2916" xr:uid="{00000000-0005-0000-0000-0000640B0000}"/>
    <cellStyle name="Финансовый 3 3 3 3 3 2" xfId="2917" xr:uid="{00000000-0005-0000-0000-0000650B0000}"/>
    <cellStyle name="Финансовый 3 3 3 3 3 3" xfId="2918" xr:uid="{00000000-0005-0000-0000-0000660B0000}"/>
    <cellStyle name="Финансовый 3 3 3 3 4" xfId="2919" xr:uid="{00000000-0005-0000-0000-0000670B0000}"/>
    <cellStyle name="Финансовый 3 3 3 3 5" xfId="2920" xr:uid="{00000000-0005-0000-0000-0000680B0000}"/>
    <cellStyle name="Финансовый 3 3 3 4" xfId="2921" xr:uid="{00000000-0005-0000-0000-0000690B0000}"/>
    <cellStyle name="Финансовый 3 3 3 4 2" xfId="2922" xr:uid="{00000000-0005-0000-0000-00006A0B0000}"/>
    <cellStyle name="Финансовый 3 3 3 4 2 2" xfId="2923" xr:uid="{00000000-0005-0000-0000-00006B0B0000}"/>
    <cellStyle name="Финансовый 3 3 3 4 2 3" xfId="2924" xr:uid="{00000000-0005-0000-0000-00006C0B0000}"/>
    <cellStyle name="Финансовый 3 3 3 4 3" xfId="2925" xr:uid="{00000000-0005-0000-0000-00006D0B0000}"/>
    <cellStyle name="Финансовый 3 3 3 4 4" xfId="2926" xr:uid="{00000000-0005-0000-0000-00006E0B0000}"/>
    <cellStyle name="Финансовый 3 3 3 5" xfId="2927" xr:uid="{00000000-0005-0000-0000-00006F0B0000}"/>
    <cellStyle name="Финансовый 3 3 3 5 2" xfId="2928" xr:uid="{00000000-0005-0000-0000-0000700B0000}"/>
    <cellStyle name="Финансовый 3 3 3 5 3" xfId="2929" xr:uid="{00000000-0005-0000-0000-0000710B0000}"/>
    <cellStyle name="Финансовый 3 3 3 6" xfId="2930" xr:uid="{00000000-0005-0000-0000-0000720B0000}"/>
    <cellStyle name="Финансовый 3 3 3 7" xfId="2931" xr:uid="{00000000-0005-0000-0000-0000730B0000}"/>
    <cellStyle name="Финансовый 3 3 3 8" xfId="2932" xr:uid="{00000000-0005-0000-0000-0000740B0000}"/>
    <cellStyle name="Финансовый 3 3 4" xfId="2933" xr:uid="{00000000-0005-0000-0000-0000750B0000}"/>
    <cellStyle name="Финансовый 3 3 4 2" xfId="2934" xr:uid="{00000000-0005-0000-0000-0000760B0000}"/>
    <cellStyle name="Финансовый 3 3 4 2 2" xfId="2935" xr:uid="{00000000-0005-0000-0000-0000770B0000}"/>
    <cellStyle name="Финансовый 3 3 4 2 2 2" xfId="2936" xr:uid="{00000000-0005-0000-0000-0000780B0000}"/>
    <cellStyle name="Финансовый 3 3 4 2 2 3" xfId="2937" xr:uid="{00000000-0005-0000-0000-0000790B0000}"/>
    <cellStyle name="Финансовый 3 3 4 2 3" xfId="2938" xr:uid="{00000000-0005-0000-0000-00007A0B0000}"/>
    <cellStyle name="Финансовый 3 3 4 2 4" xfId="2939" xr:uid="{00000000-0005-0000-0000-00007B0B0000}"/>
    <cellStyle name="Финансовый 3 3 4 3" xfId="2940" xr:uid="{00000000-0005-0000-0000-00007C0B0000}"/>
    <cellStyle name="Финансовый 3 3 4 3 2" xfId="2941" xr:uid="{00000000-0005-0000-0000-00007D0B0000}"/>
    <cellStyle name="Финансовый 3 3 4 3 3" xfId="2942" xr:uid="{00000000-0005-0000-0000-00007E0B0000}"/>
    <cellStyle name="Финансовый 3 3 4 4" xfId="2943" xr:uid="{00000000-0005-0000-0000-00007F0B0000}"/>
    <cellStyle name="Финансовый 3 3 4 5" xfId="2944" xr:uid="{00000000-0005-0000-0000-0000800B0000}"/>
    <cellStyle name="Финансовый 3 3 5" xfId="2945" xr:uid="{00000000-0005-0000-0000-0000810B0000}"/>
    <cellStyle name="Финансовый 3 3 5 2" xfId="2946" xr:uid="{00000000-0005-0000-0000-0000820B0000}"/>
    <cellStyle name="Финансовый 3 3 5 2 2" xfId="2947" xr:uid="{00000000-0005-0000-0000-0000830B0000}"/>
    <cellStyle name="Финансовый 3 3 5 2 2 2" xfId="2948" xr:uid="{00000000-0005-0000-0000-0000840B0000}"/>
    <cellStyle name="Финансовый 3 3 5 2 2 3" xfId="2949" xr:uid="{00000000-0005-0000-0000-0000850B0000}"/>
    <cellStyle name="Финансовый 3 3 5 2 3" xfId="2950" xr:uid="{00000000-0005-0000-0000-0000860B0000}"/>
    <cellStyle name="Финансовый 3 3 5 2 4" xfId="2951" xr:uid="{00000000-0005-0000-0000-0000870B0000}"/>
    <cellStyle name="Финансовый 3 3 5 3" xfId="2952" xr:uid="{00000000-0005-0000-0000-0000880B0000}"/>
    <cellStyle name="Финансовый 3 3 5 3 2" xfId="2953" xr:uid="{00000000-0005-0000-0000-0000890B0000}"/>
    <cellStyle name="Финансовый 3 3 5 3 3" xfId="2954" xr:uid="{00000000-0005-0000-0000-00008A0B0000}"/>
    <cellStyle name="Финансовый 3 3 5 4" xfId="2955" xr:uid="{00000000-0005-0000-0000-00008B0B0000}"/>
    <cellStyle name="Финансовый 3 3 5 5" xfId="2956" xr:uid="{00000000-0005-0000-0000-00008C0B0000}"/>
    <cellStyle name="Финансовый 3 3 6" xfId="2957" xr:uid="{00000000-0005-0000-0000-00008D0B0000}"/>
    <cellStyle name="Финансовый 3 3 6 2" xfId="2958" xr:uid="{00000000-0005-0000-0000-00008E0B0000}"/>
    <cellStyle name="Финансовый 3 3 6 2 2" xfId="2959" xr:uid="{00000000-0005-0000-0000-00008F0B0000}"/>
    <cellStyle name="Финансовый 3 3 6 2 3" xfId="2960" xr:uid="{00000000-0005-0000-0000-0000900B0000}"/>
    <cellStyle name="Финансовый 3 3 6 3" xfId="2961" xr:uid="{00000000-0005-0000-0000-0000910B0000}"/>
    <cellStyle name="Финансовый 3 3 6 4" xfId="2962" xr:uid="{00000000-0005-0000-0000-0000920B0000}"/>
    <cellStyle name="Финансовый 3 3 7" xfId="2963" xr:uid="{00000000-0005-0000-0000-0000930B0000}"/>
    <cellStyle name="Финансовый 3 3 7 2" xfId="2964" xr:uid="{00000000-0005-0000-0000-0000940B0000}"/>
    <cellStyle name="Финансовый 3 3 7 2 2" xfId="2965" xr:uid="{00000000-0005-0000-0000-0000950B0000}"/>
    <cellStyle name="Финансовый 3 3 7 2 3" xfId="2966" xr:uid="{00000000-0005-0000-0000-0000960B0000}"/>
    <cellStyle name="Финансовый 3 3 7 3" xfId="2967" xr:uid="{00000000-0005-0000-0000-0000970B0000}"/>
    <cellStyle name="Финансовый 3 3 7 4" xfId="2968" xr:uid="{00000000-0005-0000-0000-0000980B0000}"/>
    <cellStyle name="Финансовый 3 3 8" xfId="2969" xr:uid="{00000000-0005-0000-0000-0000990B0000}"/>
    <cellStyle name="Финансовый 3 3 8 2" xfId="2970" xr:uid="{00000000-0005-0000-0000-00009A0B0000}"/>
    <cellStyle name="Финансовый 3 3 8 2 2" xfId="2971" xr:uid="{00000000-0005-0000-0000-00009B0B0000}"/>
    <cellStyle name="Финансовый 3 3 8 2 3" xfId="2972" xr:uid="{00000000-0005-0000-0000-00009C0B0000}"/>
    <cellStyle name="Финансовый 3 3 8 3" xfId="2973" xr:uid="{00000000-0005-0000-0000-00009D0B0000}"/>
    <cellStyle name="Финансовый 3 3 8 4" xfId="2974" xr:uid="{00000000-0005-0000-0000-00009E0B0000}"/>
    <cellStyle name="Финансовый 3 3 9" xfId="2975" xr:uid="{00000000-0005-0000-0000-00009F0B0000}"/>
    <cellStyle name="Финансовый 3 3 9 2" xfId="2976" xr:uid="{00000000-0005-0000-0000-0000A00B0000}"/>
    <cellStyle name="Финансовый 3 3 9 2 2" xfId="2977" xr:uid="{00000000-0005-0000-0000-0000A10B0000}"/>
    <cellStyle name="Финансовый 3 3 9 2 3" xfId="2978" xr:uid="{00000000-0005-0000-0000-0000A20B0000}"/>
    <cellStyle name="Финансовый 3 3 9 3" xfId="2979" xr:uid="{00000000-0005-0000-0000-0000A30B0000}"/>
    <cellStyle name="Финансовый 3 3 9 4" xfId="2980" xr:uid="{00000000-0005-0000-0000-0000A40B0000}"/>
    <cellStyle name="Финансовый 3 4" xfId="2981" xr:uid="{00000000-0005-0000-0000-0000A50B0000}"/>
    <cellStyle name="Финансовый 3 4 10" xfId="2982" xr:uid="{00000000-0005-0000-0000-0000A60B0000}"/>
    <cellStyle name="Финансовый 3 4 11" xfId="2983" xr:uid="{00000000-0005-0000-0000-0000A70B0000}"/>
    <cellStyle name="Финансовый 3 4 12" xfId="2984" xr:uid="{00000000-0005-0000-0000-0000A80B0000}"/>
    <cellStyle name="Финансовый 3 4 13" xfId="2985" xr:uid="{00000000-0005-0000-0000-0000A90B0000}"/>
    <cellStyle name="Финансовый 3 4 2" xfId="2986" xr:uid="{00000000-0005-0000-0000-0000AA0B0000}"/>
    <cellStyle name="Финансовый 3 4 2 2" xfId="2987" xr:uid="{00000000-0005-0000-0000-0000AB0B0000}"/>
    <cellStyle name="Финансовый 3 4 2 2 2" xfId="2988" xr:uid="{00000000-0005-0000-0000-0000AC0B0000}"/>
    <cellStyle name="Финансовый 3 4 2 2 2 2" xfId="2989" xr:uid="{00000000-0005-0000-0000-0000AD0B0000}"/>
    <cellStyle name="Финансовый 3 4 2 2 2 2 2" xfId="2990" xr:uid="{00000000-0005-0000-0000-0000AE0B0000}"/>
    <cellStyle name="Финансовый 3 4 2 2 2 2 3" xfId="2991" xr:uid="{00000000-0005-0000-0000-0000AF0B0000}"/>
    <cellStyle name="Финансовый 3 4 2 2 2 3" xfId="2992" xr:uid="{00000000-0005-0000-0000-0000B00B0000}"/>
    <cellStyle name="Финансовый 3 4 2 2 2 4" xfId="2993" xr:uid="{00000000-0005-0000-0000-0000B10B0000}"/>
    <cellStyle name="Финансовый 3 4 2 2 3" xfId="2994" xr:uid="{00000000-0005-0000-0000-0000B20B0000}"/>
    <cellStyle name="Финансовый 3 4 2 2 3 2" xfId="2995" xr:uid="{00000000-0005-0000-0000-0000B30B0000}"/>
    <cellStyle name="Финансовый 3 4 2 2 3 3" xfId="2996" xr:uid="{00000000-0005-0000-0000-0000B40B0000}"/>
    <cellStyle name="Финансовый 3 4 2 2 4" xfId="2997" xr:uid="{00000000-0005-0000-0000-0000B50B0000}"/>
    <cellStyle name="Финансовый 3 4 2 2 5" xfId="2998" xr:uid="{00000000-0005-0000-0000-0000B60B0000}"/>
    <cellStyle name="Финансовый 3 4 2 3" xfId="2999" xr:uid="{00000000-0005-0000-0000-0000B70B0000}"/>
    <cellStyle name="Финансовый 3 4 2 3 2" xfId="3000" xr:uid="{00000000-0005-0000-0000-0000B80B0000}"/>
    <cellStyle name="Финансовый 3 4 2 3 2 2" xfId="3001" xr:uid="{00000000-0005-0000-0000-0000B90B0000}"/>
    <cellStyle name="Финансовый 3 4 2 3 2 2 2" xfId="3002" xr:uid="{00000000-0005-0000-0000-0000BA0B0000}"/>
    <cellStyle name="Финансовый 3 4 2 3 2 2 3" xfId="3003" xr:uid="{00000000-0005-0000-0000-0000BB0B0000}"/>
    <cellStyle name="Финансовый 3 4 2 3 2 3" xfId="3004" xr:uid="{00000000-0005-0000-0000-0000BC0B0000}"/>
    <cellStyle name="Финансовый 3 4 2 3 2 4" xfId="3005" xr:uid="{00000000-0005-0000-0000-0000BD0B0000}"/>
    <cellStyle name="Финансовый 3 4 2 3 3" xfId="3006" xr:uid="{00000000-0005-0000-0000-0000BE0B0000}"/>
    <cellStyle name="Финансовый 3 4 2 3 3 2" xfId="3007" xr:uid="{00000000-0005-0000-0000-0000BF0B0000}"/>
    <cellStyle name="Финансовый 3 4 2 3 3 3" xfId="3008" xr:uid="{00000000-0005-0000-0000-0000C00B0000}"/>
    <cellStyle name="Финансовый 3 4 2 3 4" xfId="3009" xr:uid="{00000000-0005-0000-0000-0000C10B0000}"/>
    <cellStyle name="Финансовый 3 4 2 3 5" xfId="3010" xr:uid="{00000000-0005-0000-0000-0000C20B0000}"/>
    <cellStyle name="Финансовый 3 4 2 4" xfId="3011" xr:uid="{00000000-0005-0000-0000-0000C30B0000}"/>
    <cellStyle name="Финансовый 3 4 2 4 2" xfId="3012" xr:uid="{00000000-0005-0000-0000-0000C40B0000}"/>
    <cellStyle name="Финансовый 3 4 2 4 2 2" xfId="3013" xr:uid="{00000000-0005-0000-0000-0000C50B0000}"/>
    <cellStyle name="Финансовый 3 4 2 4 2 3" xfId="3014" xr:uid="{00000000-0005-0000-0000-0000C60B0000}"/>
    <cellStyle name="Финансовый 3 4 2 4 3" xfId="3015" xr:uid="{00000000-0005-0000-0000-0000C70B0000}"/>
    <cellStyle name="Финансовый 3 4 2 4 4" xfId="3016" xr:uid="{00000000-0005-0000-0000-0000C80B0000}"/>
    <cellStyle name="Финансовый 3 4 2 5" xfId="3017" xr:uid="{00000000-0005-0000-0000-0000C90B0000}"/>
    <cellStyle name="Финансовый 3 4 2 5 2" xfId="3018" xr:uid="{00000000-0005-0000-0000-0000CA0B0000}"/>
    <cellStyle name="Финансовый 3 4 2 5 3" xfId="3019" xr:uid="{00000000-0005-0000-0000-0000CB0B0000}"/>
    <cellStyle name="Финансовый 3 4 2 6" xfId="3020" xr:uid="{00000000-0005-0000-0000-0000CC0B0000}"/>
    <cellStyle name="Финансовый 3 4 2 7" xfId="3021" xr:uid="{00000000-0005-0000-0000-0000CD0B0000}"/>
    <cellStyle name="Финансовый 3 4 2 8" xfId="3022" xr:uid="{00000000-0005-0000-0000-0000CE0B0000}"/>
    <cellStyle name="Финансовый 3 4 3" xfId="3023" xr:uid="{00000000-0005-0000-0000-0000CF0B0000}"/>
    <cellStyle name="Финансовый 3 4 3 2" xfId="3024" xr:uid="{00000000-0005-0000-0000-0000D00B0000}"/>
    <cellStyle name="Финансовый 3 4 3 2 2" xfId="3025" xr:uid="{00000000-0005-0000-0000-0000D10B0000}"/>
    <cellStyle name="Финансовый 3 4 3 2 2 2" xfId="3026" xr:uid="{00000000-0005-0000-0000-0000D20B0000}"/>
    <cellStyle name="Финансовый 3 4 3 2 2 3" xfId="3027" xr:uid="{00000000-0005-0000-0000-0000D30B0000}"/>
    <cellStyle name="Финансовый 3 4 3 2 3" xfId="3028" xr:uid="{00000000-0005-0000-0000-0000D40B0000}"/>
    <cellStyle name="Финансовый 3 4 3 2 4" xfId="3029" xr:uid="{00000000-0005-0000-0000-0000D50B0000}"/>
    <cellStyle name="Финансовый 3 4 3 3" xfId="3030" xr:uid="{00000000-0005-0000-0000-0000D60B0000}"/>
    <cellStyle name="Финансовый 3 4 3 3 2" xfId="3031" xr:uid="{00000000-0005-0000-0000-0000D70B0000}"/>
    <cellStyle name="Финансовый 3 4 3 3 3" xfId="3032" xr:uid="{00000000-0005-0000-0000-0000D80B0000}"/>
    <cellStyle name="Финансовый 3 4 3 4" xfId="3033" xr:uid="{00000000-0005-0000-0000-0000D90B0000}"/>
    <cellStyle name="Финансовый 3 4 3 5" xfId="3034" xr:uid="{00000000-0005-0000-0000-0000DA0B0000}"/>
    <cellStyle name="Финансовый 3 4 4" xfId="3035" xr:uid="{00000000-0005-0000-0000-0000DB0B0000}"/>
    <cellStyle name="Финансовый 3 4 4 2" xfId="3036" xr:uid="{00000000-0005-0000-0000-0000DC0B0000}"/>
    <cellStyle name="Финансовый 3 4 4 2 2" xfId="3037" xr:uid="{00000000-0005-0000-0000-0000DD0B0000}"/>
    <cellStyle name="Финансовый 3 4 4 2 2 2" xfId="3038" xr:uid="{00000000-0005-0000-0000-0000DE0B0000}"/>
    <cellStyle name="Финансовый 3 4 4 2 2 3" xfId="3039" xr:uid="{00000000-0005-0000-0000-0000DF0B0000}"/>
    <cellStyle name="Финансовый 3 4 4 2 3" xfId="3040" xr:uid="{00000000-0005-0000-0000-0000E00B0000}"/>
    <cellStyle name="Финансовый 3 4 4 2 4" xfId="3041" xr:uid="{00000000-0005-0000-0000-0000E10B0000}"/>
    <cellStyle name="Финансовый 3 4 4 3" xfId="3042" xr:uid="{00000000-0005-0000-0000-0000E20B0000}"/>
    <cellStyle name="Финансовый 3 4 4 3 2" xfId="3043" xr:uid="{00000000-0005-0000-0000-0000E30B0000}"/>
    <cellStyle name="Финансовый 3 4 4 3 3" xfId="3044" xr:uid="{00000000-0005-0000-0000-0000E40B0000}"/>
    <cellStyle name="Финансовый 3 4 4 4" xfId="3045" xr:uid="{00000000-0005-0000-0000-0000E50B0000}"/>
    <cellStyle name="Финансовый 3 4 4 5" xfId="3046" xr:uid="{00000000-0005-0000-0000-0000E60B0000}"/>
    <cellStyle name="Финансовый 3 4 5" xfId="3047" xr:uid="{00000000-0005-0000-0000-0000E70B0000}"/>
    <cellStyle name="Финансовый 3 4 5 2" xfId="3048" xr:uid="{00000000-0005-0000-0000-0000E80B0000}"/>
    <cellStyle name="Финансовый 3 4 5 2 2" xfId="3049" xr:uid="{00000000-0005-0000-0000-0000E90B0000}"/>
    <cellStyle name="Финансовый 3 4 5 2 3" xfId="3050" xr:uid="{00000000-0005-0000-0000-0000EA0B0000}"/>
    <cellStyle name="Финансовый 3 4 5 3" xfId="3051" xr:uid="{00000000-0005-0000-0000-0000EB0B0000}"/>
    <cellStyle name="Финансовый 3 4 5 4" xfId="3052" xr:uid="{00000000-0005-0000-0000-0000EC0B0000}"/>
    <cellStyle name="Финансовый 3 4 6" xfId="3053" xr:uid="{00000000-0005-0000-0000-0000ED0B0000}"/>
    <cellStyle name="Финансовый 3 4 6 2" xfId="3054" xr:uid="{00000000-0005-0000-0000-0000EE0B0000}"/>
    <cellStyle name="Финансовый 3 4 6 2 2" xfId="3055" xr:uid="{00000000-0005-0000-0000-0000EF0B0000}"/>
    <cellStyle name="Финансовый 3 4 6 2 3" xfId="3056" xr:uid="{00000000-0005-0000-0000-0000F00B0000}"/>
    <cellStyle name="Финансовый 3 4 6 3" xfId="3057" xr:uid="{00000000-0005-0000-0000-0000F10B0000}"/>
    <cellStyle name="Финансовый 3 4 6 4" xfId="3058" xr:uid="{00000000-0005-0000-0000-0000F20B0000}"/>
    <cellStyle name="Финансовый 3 4 7" xfId="3059" xr:uid="{00000000-0005-0000-0000-0000F30B0000}"/>
    <cellStyle name="Финансовый 3 4 7 2" xfId="3060" xr:uid="{00000000-0005-0000-0000-0000F40B0000}"/>
    <cellStyle name="Финансовый 3 4 7 2 2" xfId="3061" xr:uid="{00000000-0005-0000-0000-0000F50B0000}"/>
    <cellStyle name="Финансовый 3 4 7 2 3" xfId="3062" xr:uid="{00000000-0005-0000-0000-0000F60B0000}"/>
    <cellStyle name="Финансовый 3 4 7 3" xfId="3063" xr:uid="{00000000-0005-0000-0000-0000F70B0000}"/>
    <cellStyle name="Финансовый 3 4 7 4" xfId="3064" xr:uid="{00000000-0005-0000-0000-0000F80B0000}"/>
    <cellStyle name="Финансовый 3 4 8" xfId="3065" xr:uid="{00000000-0005-0000-0000-0000F90B0000}"/>
    <cellStyle name="Финансовый 3 4 8 2" xfId="3066" xr:uid="{00000000-0005-0000-0000-0000FA0B0000}"/>
    <cellStyle name="Финансовый 3 4 8 2 2" xfId="3067" xr:uid="{00000000-0005-0000-0000-0000FB0B0000}"/>
    <cellStyle name="Финансовый 3 4 8 2 3" xfId="3068" xr:uid="{00000000-0005-0000-0000-0000FC0B0000}"/>
    <cellStyle name="Финансовый 3 4 8 3" xfId="3069" xr:uid="{00000000-0005-0000-0000-0000FD0B0000}"/>
    <cellStyle name="Финансовый 3 4 8 4" xfId="3070" xr:uid="{00000000-0005-0000-0000-0000FE0B0000}"/>
    <cellStyle name="Финансовый 3 4 9" xfId="3071" xr:uid="{00000000-0005-0000-0000-0000FF0B0000}"/>
    <cellStyle name="Финансовый 3 4 9 2" xfId="3072" xr:uid="{00000000-0005-0000-0000-0000000C0000}"/>
    <cellStyle name="Финансовый 3 4 9 3" xfId="3073" xr:uid="{00000000-0005-0000-0000-0000010C0000}"/>
    <cellStyle name="Финансовый 3 5" xfId="3074" xr:uid="{00000000-0005-0000-0000-0000020C0000}"/>
    <cellStyle name="Финансовый 3 5 10" xfId="3075" xr:uid="{00000000-0005-0000-0000-0000030C0000}"/>
    <cellStyle name="Финансовый 3 5 11" xfId="3076" xr:uid="{00000000-0005-0000-0000-0000040C0000}"/>
    <cellStyle name="Финансовый 3 5 12" xfId="3077" xr:uid="{00000000-0005-0000-0000-0000050C0000}"/>
    <cellStyle name="Финансовый 3 5 13" xfId="3078" xr:uid="{00000000-0005-0000-0000-0000060C0000}"/>
    <cellStyle name="Финансовый 3 5 2" xfId="3079" xr:uid="{00000000-0005-0000-0000-0000070C0000}"/>
    <cellStyle name="Финансовый 3 5 2 2" xfId="3080" xr:uid="{00000000-0005-0000-0000-0000080C0000}"/>
    <cellStyle name="Финансовый 3 5 2 2 2" xfId="3081" xr:uid="{00000000-0005-0000-0000-0000090C0000}"/>
    <cellStyle name="Финансовый 3 5 2 2 2 2" xfId="3082" xr:uid="{00000000-0005-0000-0000-00000A0C0000}"/>
    <cellStyle name="Финансовый 3 5 2 2 2 2 2" xfId="3083" xr:uid="{00000000-0005-0000-0000-00000B0C0000}"/>
    <cellStyle name="Финансовый 3 5 2 2 2 2 3" xfId="3084" xr:uid="{00000000-0005-0000-0000-00000C0C0000}"/>
    <cellStyle name="Финансовый 3 5 2 2 2 3" xfId="3085" xr:uid="{00000000-0005-0000-0000-00000D0C0000}"/>
    <cellStyle name="Финансовый 3 5 2 2 2 4" xfId="3086" xr:uid="{00000000-0005-0000-0000-00000E0C0000}"/>
    <cellStyle name="Финансовый 3 5 2 2 3" xfId="3087" xr:uid="{00000000-0005-0000-0000-00000F0C0000}"/>
    <cellStyle name="Финансовый 3 5 2 2 3 2" xfId="3088" xr:uid="{00000000-0005-0000-0000-0000100C0000}"/>
    <cellStyle name="Финансовый 3 5 2 2 3 3" xfId="3089" xr:uid="{00000000-0005-0000-0000-0000110C0000}"/>
    <cellStyle name="Финансовый 3 5 2 2 4" xfId="3090" xr:uid="{00000000-0005-0000-0000-0000120C0000}"/>
    <cellStyle name="Финансовый 3 5 2 2 5" xfId="3091" xr:uid="{00000000-0005-0000-0000-0000130C0000}"/>
    <cellStyle name="Финансовый 3 5 2 3" xfId="3092" xr:uid="{00000000-0005-0000-0000-0000140C0000}"/>
    <cellStyle name="Финансовый 3 5 2 3 2" xfId="3093" xr:uid="{00000000-0005-0000-0000-0000150C0000}"/>
    <cellStyle name="Финансовый 3 5 2 3 2 2" xfId="3094" xr:uid="{00000000-0005-0000-0000-0000160C0000}"/>
    <cellStyle name="Финансовый 3 5 2 3 2 2 2" xfId="3095" xr:uid="{00000000-0005-0000-0000-0000170C0000}"/>
    <cellStyle name="Финансовый 3 5 2 3 2 2 3" xfId="3096" xr:uid="{00000000-0005-0000-0000-0000180C0000}"/>
    <cellStyle name="Финансовый 3 5 2 3 2 3" xfId="3097" xr:uid="{00000000-0005-0000-0000-0000190C0000}"/>
    <cellStyle name="Финансовый 3 5 2 3 2 4" xfId="3098" xr:uid="{00000000-0005-0000-0000-00001A0C0000}"/>
    <cellStyle name="Финансовый 3 5 2 3 3" xfId="3099" xr:uid="{00000000-0005-0000-0000-00001B0C0000}"/>
    <cellStyle name="Финансовый 3 5 2 3 3 2" xfId="3100" xr:uid="{00000000-0005-0000-0000-00001C0C0000}"/>
    <cellStyle name="Финансовый 3 5 2 3 3 3" xfId="3101" xr:uid="{00000000-0005-0000-0000-00001D0C0000}"/>
    <cellStyle name="Финансовый 3 5 2 3 4" xfId="3102" xr:uid="{00000000-0005-0000-0000-00001E0C0000}"/>
    <cellStyle name="Финансовый 3 5 2 3 5" xfId="3103" xr:uid="{00000000-0005-0000-0000-00001F0C0000}"/>
    <cellStyle name="Финансовый 3 5 2 4" xfId="3104" xr:uid="{00000000-0005-0000-0000-0000200C0000}"/>
    <cellStyle name="Финансовый 3 5 2 4 2" xfId="3105" xr:uid="{00000000-0005-0000-0000-0000210C0000}"/>
    <cellStyle name="Финансовый 3 5 2 4 2 2" xfId="3106" xr:uid="{00000000-0005-0000-0000-0000220C0000}"/>
    <cellStyle name="Финансовый 3 5 2 4 2 3" xfId="3107" xr:uid="{00000000-0005-0000-0000-0000230C0000}"/>
    <cellStyle name="Финансовый 3 5 2 4 3" xfId="3108" xr:uid="{00000000-0005-0000-0000-0000240C0000}"/>
    <cellStyle name="Финансовый 3 5 2 4 4" xfId="3109" xr:uid="{00000000-0005-0000-0000-0000250C0000}"/>
    <cellStyle name="Финансовый 3 5 2 5" xfId="3110" xr:uid="{00000000-0005-0000-0000-0000260C0000}"/>
    <cellStyle name="Финансовый 3 5 2 5 2" xfId="3111" xr:uid="{00000000-0005-0000-0000-0000270C0000}"/>
    <cellStyle name="Финансовый 3 5 2 5 3" xfId="3112" xr:uid="{00000000-0005-0000-0000-0000280C0000}"/>
    <cellStyle name="Финансовый 3 5 2 6" xfId="3113" xr:uid="{00000000-0005-0000-0000-0000290C0000}"/>
    <cellStyle name="Финансовый 3 5 2 7" xfId="3114" xr:uid="{00000000-0005-0000-0000-00002A0C0000}"/>
    <cellStyle name="Финансовый 3 5 2 8" xfId="3115" xr:uid="{00000000-0005-0000-0000-00002B0C0000}"/>
    <cellStyle name="Финансовый 3 5 3" xfId="3116" xr:uid="{00000000-0005-0000-0000-00002C0C0000}"/>
    <cellStyle name="Финансовый 3 5 3 2" xfId="3117" xr:uid="{00000000-0005-0000-0000-00002D0C0000}"/>
    <cellStyle name="Финансовый 3 5 3 2 2" xfId="3118" xr:uid="{00000000-0005-0000-0000-00002E0C0000}"/>
    <cellStyle name="Финансовый 3 5 3 2 2 2" xfId="3119" xr:uid="{00000000-0005-0000-0000-00002F0C0000}"/>
    <cellStyle name="Финансовый 3 5 3 2 2 3" xfId="3120" xr:uid="{00000000-0005-0000-0000-0000300C0000}"/>
    <cellStyle name="Финансовый 3 5 3 2 3" xfId="3121" xr:uid="{00000000-0005-0000-0000-0000310C0000}"/>
    <cellStyle name="Финансовый 3 5 3 2 4" xfId="3122" xr:uid="{00000000-0005-0000-0000-0000320C0000}"/>
    <cellStyle name="Финансовый 3 5 3 3" xfId="3123" xr:uid="{00000000-0005-0000-0000-0000330C0000}"/>
    <cellStyle name="Финансовый 3 5 3 3 2" xfId="3124" xr:uid="{00000000-0005-0000-0000-0000340C0000}"/>
    <cellStyle name="Финансовый 3 5 3 3 3" xfId="3125" xr:uid="{00000000-0005-0000-0000-0000350C0000}"/>
    <cellStyle name="Финансовый 3 5 3 4" xfId="3126" xr:uid="{00000000-0005-0000-0000-0000360C0000}"/>
    <cellStyle name="Финансовый 3 5 3 5" xfId="3127" xr:uid="{00000000-0005-0000-0000-0000370C0000}"/>
    <cellStyle name="Финансовый 3 5 4" xfId="3128" xr:uid="{00000000-0005-0000-0000-0000380C0000}"/>
    <cellStyle name="Финансовый 3 5 4 2" xfId="3129" xr:uid="{00000000-0005-0000-0000-0000390C0000}"/>
    <cellStyle name="Финансовый 3 5 4 2 2" xfId="3130" xr:uid="{00000000-0005-0000-0000-00003A0C0000}"/>
    <cellStyle name="Финансовый 3 5 4 2 2 2" xfId="3131" xr:uid="{00000000-0005-0000-0000-00003B0C0000}"/>
    <cellStyle name="Финансовый 3 5 4 2 2 3" xfId="3132" xr:uid="{00000000-0005-0000-0000-00003C0C0000}"/>
    <cellStyle name="Финансовый 3 5 4 2 3" xfId="3133" xr:uid="{00000000-0005-0000-0000-00003D0C0000}"/>
    <cellStyle name="Финансовый 3 5 4 2 4" xfId="3134" xr:uid="{00000000-0005-0000-0000-00003E0C0000}"/>
    <cellStyle name="Финансовый 3 5 4 3" xfId="3135" xr:uid="{00000000-0005-0000-0000-00003F0C0000}"/>
    <cellStyle name="Финансовый 3 5 4 3 2" xfId="3136" xr:uid="{00000000-0005-0000-0000-0000400C0000}"/>
    <cellStyle name="Финансовый 3 5 4 3 3" xfId="3137" xr:uid="{00000000-0005-0000-0000-0000410C0000}"/>
    <cellStyle name="Финансовый 3 5 4 4" xfId="3138" xr:uid="{00000000-0005-0000-0000-0000420C0000}"/>
    <cellStyle name="Финансовый 3 5 4 5" xfId="3139" xr:uid="{00000000-0005-0000-0000-0000430C0000}"/>
    <cellStyle name="Финансовый 3 5 5" xfId="3140" xr:uid="{00000000-0005-0000-0000-0000440C0000}"/>
    <cellStyle name="Финансовый 3 5 5 2" xfId="3141" xr:uid="{00000000-0005-0000-0000-0000450C0000}"/>
    <cellStyle name="Финансовый 3 5 5 2 2" xfId="3142" xr:uid="{00000000-0005-0000-0000-0000460C0000}"/>
    <cellStyle name="Финансовый 3 5 5 2 3" xfId="3143" xr:uid="{00000000-0005-0000-0000-0000470C0000}"/>
    <cellStyle name="Финансовый 3 5 5 3" xfId="3144" xr:uid="{00000000-0005-0000-0000-0000480C0000}"/>
    <cellStyle name="Финансовый 3 5 5 4" xfId="3145" xr:uid="{00000000-0005-0000-0000-0000490C0000}"/>
    <cellStyle name="Финансовый 3 5 6" xfId="3146" xr:uid="{00000000-0005-0000-0000-00004A0C0000}"/>
    <cellStyle name="Финансовый 3 5 6 2" xfId="3147" xr:uid="{00000000-0005-0000-0000-00004B0C0000}"/>
    <cellStyle name="Финансовый 3 5 6 2 2" xfId="3148" xr:uid="{00000000-0005-0000-0000-00004C0C0000}"/>
    <cellStyle name="Финансовый 3 5 6 2 3" xfId="3149" xr:uid="{00000000-0005-0000-0000-00004D0C0000}"/>
    <cellStyle name="Финансовый 3 5 6 3" xfId="3150" xr:uid="{00000000-0005-0000-0000-00004E0C0000}"/>
    <cellStyle name="Финансовый 3 5 6 4" xfId="3151" xr:uid="{00000000-0005-0000-0000-00004F0C0000}"/>
    <cellStyle name="Финансовый 3 5 7" xfId="3152" xr:uid="{00000000-0005-0000-0000-0000500C0000}"/>
    <cellStyle name="Финансовый 3 5 7 2" xfId="3153" xr:uid="{00000000-0005-0000-0000-0000510C0000}"/>
    <cellStyle name="Финансовый 3 5 7 2 2" xfId="3154" xr:uid="{00000000-0005-0000-0000-0000520C0000}"/>
    <cellStyle name="Финансовый 3 5 7 2 3" xfId="3155" xr:uid="{00000000-0005-0000-0000-0000530C0000}"/>
    <cellStyle name="Финансовый 3 5 7 3" xfId="3156" xr:uid="{00000000-0005-0000-0000-0000540C0000}"/>
    <cellStyle name="Финансовый 3 5 7 4" xfId="3157" xr:uid="{00000000-0005-0000-0000-0000550C0000}"/>
    <cellStyle name="Финансовый 3 5 8" xfId="3158" xr:uid="{00000000-0005-0000-0000-0000560C0000}"/>
    <cellStyle name="Финансовый 3 5 8 2" xfId="3159" xr:uid="{00000000-0005-0000-0000-0000570C0000}"/>
    <cellStyle name="Финансовый 3 5 8 2 2" xfId="3160" xr:uid="{00000000-0005-0000-0000-0000580C0000}"/>
    <cellStyle name="Финансовый 3 5 8 2 3" xfId="3161" xr:uid="{00000000-0005-0000-0000-0000590C0000}"/>
    <cellStyle name="Финансовый 3 5 8 3" xfId="3162" xr:uid="{00000000-0005-0000-0000-00005A0C0000}"/>
    <cellStyle name="Финансовый 3 5 8 4" xfId="3163" xr:uid="{00000000-0005-0000-0000-00005B0C0000}"/>
    <cellStyle name="Финансовый 3 5 9" xfId="3164" xr:uid="{00000000-0005-0000-0000-00005C0C0000}"/>
    <cellStyle name="Финансовый 3 5 9 2" xfId="3165" xr:uid="{00000000-0005-0000-0000-00005D0C0000}"/>
    <cellStyle name="Финансовый 3 5 9 3" xfId="3166" xr:uid="{00000000-0005-0000-0000-00005E0C0000}"/>
    <cellStyle name="Финансовый 3 6" xfId="3167" xr:uid="{00000000-0005-0000-0000-00005F0C0000}"/>
    <cellStyle name="Финансовый 3 6 2" xfId="3168" xr:uid="{00000000-0005-0000-0000-0000600C0000}"/>
    <cellStyle name="Финансовый 3 6 2 2" xfId="3169" xr:uid="{00000000-0005-0000-0000-0000610C0000}"/>
    <cellStyle name="Финансовый 3 6 2 2 2" xfId="3170" xr:uid="{00000000-0005-0000-0000-0000620C0000}"/>
    <cellStyle name="Финансовый 3 6 2 2 2 2" xfId="3171" xr:uid="{00000000-0005-0000-0000-0000630C0000}"/>
    <cellStyle name="Финансовый 3 6 2 2 2 3" xfId="3172" xr:uid="{00000000-0005-0000-0000-0000640C0000}"/>
    <cellStyle name="Финансовый 3 6 2 2 3" xfId="3173" xr:uid="{00000000-0005-0000-0000-0000650C0000}"/>
    <cellStyle name="Финансовый 3 6 2 2 4" xfId="3174" xr:uid="{00000000-0005-0000-0000-0000660C0000}"/>
    <cellStyle name="Финансовый 3 6 2 3" xfId="3175" xr:uid="{00000000-0005-0000-0000-0000670C0000}"/>
    <cellStyle name="Финансовый 3 6 2 3 2" xfId="3176" xr:uid="{00000000-0005-0000-0000-0000680C0000}"/>
    <cellStyle name="Финансовый 3 6 2 3 3" xfId="3177" xr:uid="{00000000-0005-0000-0000-0000690C0000}"/>
    <cellStyle name="Финансовый 3 6 2 4" xfId="3178" xr:uid="{00000000-0005-0000-0000-00006A0C0000}"/>
    <cellStyle name="Финансовый 3 6 2 5" xfId="3179" xr:uid="{00000000-0005-0000-0000-00006B0C0000}"/>
    <cellStyle name="Финансовый 3 6 3" xfId="3180" xr:uid="{00000000-0005-0000-0000-00006C0C0000}"/>
    <cellStyle name="Финансовый 3 6 3 2" xfId="3181" xr:uid="{00000000-0005-0000-0000-00006D0C0000}"/>
    <cellStyle name="Финансовый 3 6 3 2 2" xfId="3182" xr:uid="{00000000-0005-0000-0000-00006E0C0000}"/>
    <cellStyle name="Финансовый 3 6 3 2 2 2" xfId="3183" xr:uid="{00000000-0005-0000-0000-00006F0C0000}"/>
    <cellStyle name="Финансовый 3 6 3 2 2 3" xfId="3184" xr:uid="{00000000-0005-0000-0000-0000700C0000}"/>
    <cellStyle name="Финансовый 3 6 3 2 3" xfId="3185" xr:uid="{00000000-0005-0000-0000-0000710C0000}"/>
    <cellStyle name="Финансовый 3 6 3 2 4" xfId="3186" xr:uid="{00000000-0005-0000-0000-0000720C0000}"/>
    <cellStyle name="Финансовый 3 6 3 3" xfId="3187" xr:uid="{00000000-0005-0000-0000-0000730C0000}"/>
    <cellStyle name="Финансовый 3 6 3 3 2" xfId="3188" xr:uid="{00000000-0005-0000-0000-0000740C0000}"/>
    <cellStyle name="Финансовый 3 6 3 3 3" xfId="3189" xr:uid="{00000000-0005-0000-0000-0000750C0000}"/>
    <cellStyle name="Финансовый 3 6 3 4" xfId="3190" xr:uid="{00000000-0005-0000-0000-0000760C0000}"/>
    <cellStyle name="Финансовый 3 6 3 5" xfId="3191" xr:uid="{00000000-0005-0000-0000-0000770C0000}"/>
    <cellStyle name="Финансовый 3 6 4" xfId="3192" xr:uid="{00000000-0005-0000-0000-0000780C0000}"/>
    <cellStyle name="Финансовый 3 6 4 2" xfId="3193" xr:uid="{00000000-0005-0000-0000-0000790C0000}"/>
    <cellStyle name="Финансовый 3 6 4 2 2" xfId="3194" xr:uid="{00000000-0005-0000-0000-00007A0C0000}"/>
    <cellStyle name="Финансовый 3 6 4 2 3" xfId="3195" xr:uid="{00000000-0005-0000-0000-00007B0C0000}"/>
    <cellStyle name="Финансовый 3 6 4 3" xfId="3196" xr:uid="{00000000-0005-0000-0000-00007C0C0000}"/>
    <cellStyle name="Финансовый 3 6 4 4" xfId="3197" xr:uid="{00000000-0005-0000-0000-00007D0C0000}"/>
    <cellStyle name="Финансовый 3 6 5" xfId="3198" xr:uid="{00000000-0005-0000-0000-00007E0C0000}"/>
    <cellStyle name="Финансовый 3 6 5 2" xfId="3199" xr:uid="{00000000-0005-0000-0000-00007F0C0000}"/>
    <cellStyle name="Финансовый 3 6 5 3" xfId="3200" xr:uid="{00000000-0005-0000-0000-0000800C0000}"/>
    <cellStyle name="Финансовый 3 6 6" xfId="3201" xr:uid="{00000000-0005-0000-0000-0000810C0000}"/>
    <cellStyle name="Финансовый 3 6 7" xfId="3202" xr:uid="{00000000-0005-0000-0000-0000820C0000}"/>
    <cellStyle name="Финансовый 3 6 8" xfId="3203" xr:uid="{00000000-0005-0000-0000-0000830C0000}"/>
    <cellStyle name="Финансовый 3 7" xfId="3204" xr:uid="{00000000-0005-0000-0000-0000840C0000}"/>
    <cellStyle name="Финансовый 3 7 2" xfId="3205" xr:uid="{00000000-0005-0000-0000-0000850C0000}"/>
    <cellStyle name="Финансовый 3 7 2 2" xfId="3206" xr:uid="{00000000-0005-0000-0000-0000860C0000}"/>
    <cellStyle name="Финансовый 3 7 2 2 2" xfId="3207" xr:uid="{00000000-0005-0000-0000-0000870C0000}"/>
    <cellStyle name="Финансовый 3 7 2 2 3" xfId="3208" xr:uid="{00000000-0005-0000-0000-0000880C0000}"/>
    <cellStyle name="Финансовый 3 7 2 3" xfId="3209" xr:uid="{00000000-0005-0000-0000-0000890C0000}"/>
    <cellStyle name="Финансовый 3 7 2 4" xfId="3210" xr:uid="{00000000-0005-0000-0000-00008A0C0000}"/>
    <cellStyle name="Финансовый 3 7 3" xfId="3211" xr:uid="{00000000-0005-0000-0000-00008B0C0000}"/>
    <cellStyle name="Финансовый 3 7 3 2" xfId="3212" xr:uid="{00000000-0005-0000-0000-00008C0C0000}"/>
    <cellStyle name="Финансовый 3 7 3 3" xfId="3213" xr:uid="{00000000-0005-0000-0000-00008D0C0000}"/>
    <cellStyle name="Финансовый 3 7 4" xfId="3214" xr:uid="{00000000-0005-0000-0000-00008E0C0000}"/>
    <cellStyle name="Финансовый 3 7 5" xfId="3215" xr:uid="{00000000-0005-0000-0000-00008F0C0000}"/>
    <cellStyle name="Финансовый 3 8" xfId="3216" xr:uid="{00000000-0005-0000-0000-0000900C0000}"/>
    <cellStyle name="Финансовый 3 8 2" xfId="3217" xr:uid="{00000000-0005-0000-0000-0000910C0000}"/>
    <cellStyle name="Финансовый 3 8 2 2" xfId="3218" xr:uid="{00000000-0005-0000-0000-0000920C0000}"/>
    <cellStyle name="Финансовый 3 8 2 2 2" xfId="3219" xr:uid="{00000000-0005-0000-0000-0000930C0000}"/>
    <cellStyle name="Финансовый 3 8 2 2 3" xfId="3220" xr:uid="{00000000-0005-0000-0000-0000940C0000}"/>
    <cellStyle name="Финансовый 3 8 2 3" xfId="3221" xr:uid="{00000000-0005-0000-0000-0000950C0000}"/>
    <cellStyle name="Финансовый 3 8 2 4" xfId="3222" xr:uid="{00000000-0005-0000-0000-0000960C0000}"/>
    <cellStyle name="Финансовый 3 8 3" xfId="3223" xr:uid="{00000000-0005-0000-0000-0000970C0000}"/>
    <cellStyle name="Финансовый 3 8 3 2" xfId="3224" xr:uid="{00000000-0005-0000-0000-0000980C0000}"/>
    <cellStyle name="Финансовый 3 8 3 3" xfId="3225" xr:uid="{00000000-0005-0000-0000-0000990C0000}"/>
    <cellStyle name="Финансовый 3 8 4" xfId="3226" xr:uid="{00000000-0005-0000-0000-00009A0C0000}"/>
    <cellStyle name="Финансовый 3 8 5" xfId="3227" xr:uid="{00000000-0005-0000-0000-00009B0C0000}"/>
    <cellStyle name="Финансовый 3 9" xfId="3228" xr:uid="{00000000-0005-0000-0000-00009C0C0000}"/>
    <cellStyle name="Финансовый 3 9 2" xfId="3229" xr:uid="{00000000-0005-0000-0000-00009D0C0000}"/>
    <cellStyle name="Финансовый 3 9 2 2" xfId="3230" xr:uid="{00000000-0005-0000-0000-00009E0C0000}"/>
    <cellStyle name="Финансовый 3 9 2 3" xfId="3231" xr:uid="{00000000-0005-0000-0000-00009F0C0000}"/>
    <cellStyle name="Финансовый 3 9 3" xfId="3232" xr:uid="{00000000-0005-0000-0000-0000A00C0000}"/>
    <cellStyle name="Финансовый 3 9 4" xfId="3233" xr:uid="{00000000-0005-0000-0000-0000A10C0000}"/>
    <cellStyle name="Финансовый 4" xfId="3234" xr:uid="{00000000-0005-0000-0000-0000A20C0000}"/>
    <cellStyle name="Финансовый 4 2" xfId="3235" xr:uid="{00000000-0005-0000-0000-0000A30C0000}"/>
    <cellStyle name="Финансовый 4 2 10" xfId="3236" xr:uid="{00000000-0005-0000-0000-0000A40C0000}"/>
    <cellStyle name="Финансовый 4 2 11" xfId="3237" xr:uid="{00000000-0005-0000-0000-0000A50C0000}"/>
    <cellStyle name="Финансовый 4 2 12" xfId="3238" xr:uid="{00000000-0005-0000-0000-0000A60C0000}"/>
    <cellStyle name="Финансовый 4 2 13" xfId="3239" xr:uid="{00000000-0005-0000-0000-0000A70C0000}"/>
    <cellStyle name="Финансовый 4 2 2" xfId="3240" xr:uid="{00000000-0005-0000-0000-0000A80C0000}"/>
    <cellStyle name="Финансовый 4 2 2 2" xfId="3241" xr:uid="{00000000-0005-0000-0000-0000A90C0000}"/>
    <cellStyle name="Финансовый 4 2 2 2 2" xfId="3242" xr:uid="{00000000-0005-0000-0000-0000AA0C0000}"/>
    <cellStyle name="Финансовый 4 2 2 2 2 2" xfId="3243" xr:uid="{00000000-0005-0000-0000-0000AB0C0000}"/>
    <cellStyle name="Финансовый 4 2 2 2 2 2 2" xfId="3244" xr:uid="{00000000-0005-0000-0000-0000AC0C0000}"/>
    <cellStyle name="Финансовый 4 2 2 2 2 2 3" xfId="3245" xr:uid="{00000000-0005-0000-0000-0000AD0C0000}"/>
    <cellStyle name="Финансовый 4 2 2 2 2 3" xfId="3246" xr:uid="{00000000-0005-0000-0000-0000AE0C0000}"/>
    <cellStyle name="Финансовый 4 2 2 2 2 4" xfId="3247" xr:uid="{00000000-0005-0000-0000-0000AF0C0000}"/>
    <cellStyle name="Финансовый 4 2 2 2 3" xfId="3248" xr:uid="{00000000-0005-0000-0000-0000B00C0000}"/>
    <cellStyle name="Финансовый 4 2 2 2 3 2" xfId="3249" xr:uid="{00000000-0005-0000-0000-0000B10C0000}"/>
    <cellStyle name="Финансовый 4 2 2 2 3 3" xfId="3250" xr:uid="{00000000-0005-0000-0000-0000B20C0000}"/>
    <cellStyle name="Финансовый 4 2 2 2 4" xfId="3251" xr:uid="{00000000-0005-0000-0000-0000B30C0000}"/>
    <cellStyle name="Финансовый 4 2 2 2 5" xfId="3252" xr:uid="{00000000-0005-0000-0000-0000B40C0000}"/>
    <cellStyle name="Финансовый 4 2 2 3" xfId="3253" xr:uid="{00000000-0005-0000-0000-0000B50C0000}"/>
    <cellStyle name="Финансовый 4 2 2 3 2" xfId="3254" xr:uid="{00000000-0005-0000-0000-0000B60C0000}"/>
    <cellStyle name="Финансовый 4 2 2 3 2 2" xfId="3255" xr:uid="{00000000-0005-0000-0000-0000B70C0000}"/>
    <cellStyle name="Финансовый 4 2 2 3 2 2 2" xfId="3256" xr:uid="{00000000-0005-0000-0000-0000B80C0000}"/>
    <cellStyle name="Финансовый 4 2 2 3 2 2 3" xfId="3257" xr:uid="{00000000-0005-0000-0000-0000B90C0000}"/>
    <cellStyle name="Финансовый 4 2 2 3 2 3" xfId="3258" xr:uid="{00000000-0005-0000-0000-0000BA0C0000}"/>
    <cellStyle name="Финансовый 4 2 2 3 2 4" xfId="3259" xr:uid="{00000000-0005-0000-0000-0000BB0C0000}"/>
    <cellStyle name="Финансовый 4 2 2 3 3" xfId="3260" xr:uid="{00000000-0005-0000-0000-0000BC0C0000}"/>
    <cellStyle name="Финансовый 4 2 2 3 3 2" xfId="3261" xr:uid="{00000000-0005-0000-0000-0000BD0C0000}"/>
    <cellStyle name="Финансовый 4 2 2 3 3 3" xfId="3262" xr:uid="{00000000-0005-0000-0000-0000BE0C0000}"/>
    <cellStyle name="Финансовый 4 2 2 3 4" xfId="3263" xr:uid="{00000000-0005-0000-0000-0000BF0C0000}"/>
    <cellStyle name="Финансовый 4 2 2 3 5" xfId="3264" xr:uid="{00000000-0005-0000-0000-0000C00C0000}"/>
    <cellStyle name="Финансовый 4 2 2 4" xfId="3265" xr:uid="{00000000-0005-0000-0000-0000C10C0000}"/>
    <cellStyle name="Финансовый 4 2 2 4 2" xfId="3266" xr:uid="{00000000-0005-0000-0000-0000C20C0000}"/>
    <cellStyle name="Финансовый 4 2 2 4 2 2" xfId="3267" xr:uid="{00000000-0005-0000-0000-0000C30C0000}"/>
    <cellStyle name="Финансовый 4 2 2 4 2 3" xfId="3268" xr:uid="{00000000-0005-0000-0000-0000C40C0000}"/>
    <cellStyle name="Финансовый 4 2 2 4 3" xfId="3269" xr:uid="{00000000-0005-0000-0000-0000C50C0000}"/>
    <cellStyle name="Финансовый 4 2 2 4 4" xfId="3270" xr:uid="{00000000-0005-0000-0000-0000C60C0000}"/>
    <cellStyle name="Финансовый 4 2 2 5" xfId="3271" xr:uid="{00000000-0005-0000-0000-0000C70C0000}"/>
    <cellStyle name="Финансовый 4 2 2 5 2" xfId="3272" xr:uid="{00000000-0005-0000-0000-0000C80C0000}"/>
    <cellStyle name="Финансовый 4 2 2 5 3" xfId="3273" xr:uid="{00000000-0005-0000-0000-0000C90C0000}"/>
    <cellStyle name="Финансовый 4 2 2 6" xfId="3274" xr:uid="{00000000-0005-0000-0000-0000CA0C0000}"/>
    <cellStyle name="Финансовый 4 2 2 7" xfId="3275" xr:uid="{00000000-0005-0000-0000-0000CB0C0000}"/>
    <cellStyle name="Финансовый 4 2 2 8" xfId="3276" xr:uid="{00000000-0005-0000-0000-0000CC0C0000}"/>
    <cellStyle name="Финансовый 4 2 3" xfId="3277" xr:uid="{00000000-0005-0000-0000-0000CD0C0000}"/>
    <cellStyle name="Финансовый 4 2 3 2" xfId="3278" xr:uid="{00000000-0005-0000-0000-0000CE0C0000}"/>
    <cellStyle name="Финансовый 4 2 3 2 2" xfId="3279" xr:uid="{00000000-0005-0000-0000-0000CF0C0000}"/>
    <cellStyle name="Финансовый 4 2 3 2 2 2" xfId="3280" xr:uid="{00000000-0005-0000-0000-0000D00C0000}"/>
    <cellStyle name="Финансовый 4 2 3 2 2 3" xfId="3281" xr:uid="{00000000-0005-0000-0000-0000D10C0000}"/>
    <cellStyle name="Финансовый 4 2 3 2 3" xfId="3282" xr:uid="{00000000-0005-0000-0000-0000D20C0000}"/>
    <cellStyle name="Финансовый 4 2 3 2 4" xfId="3283" xr:uid="{00000000-0005-0000-0000-0000D30C0000}"/>
    <cellStyle name="Финансовый 4 2 3 3" xfId="3284" xr:uid="{00000000-0005-0000-0000-0000D40C0000}"/>
    <cellStyle name="Финансовый 4 2 3 3 2" xfId="3285" xr:uid="{00000000-0005-0000-0000-0000D50C0000}"/>
    <cellStyle name="Финансовый 4 2 3 3 3" xfId="3286" xr:uid="{00000000-0005-0000-0000-0000D60C0000}"/>
    <cellStyle name="Финансовый 4 2 3 4" xfId="3287" xr:uid="{00000000-0005-0000-0000-0000D70C0000}"/>
    <cellStyle name="Финансовый 4 2 3 5" xfId="3288" xr:uid="{00000000-0005-0000-0000-0000D80C0000}"/>
    <cellStyle name="Финансовый 4 2 4" xfId="3289" xr:uid="{00000000-0005-0000-0000-0000D90C0000}"/>
    <cellStyle name="Финансовый 4 2 4 2" xfId="3290" xr:uid="{00000000-0005-0000-0000-0000DA0C0000}"/>
    <cellStyle name="Финансовый 4 2 4 2 2" xfId="3291" xr:uid="{00000000-0005-0000-0000-0000DB0C0000}"/>
    <cellStyle name="Финансовый 4 2 4 2 2 2" xfId="3292" xr:uid="{00000000-0005-0000-0000-0000DC0C0000}"/>
    <cellStyle name="Финансовый 4 2 4 2 2 3" xfId="3293" xr:uid="{00000000-0005-0000-0000-0000DD0C0000}"/>
    <cellStyle name="Финансовый 4 2 4 2 3" xfId="3294" xr:uid="{00000000-0005-0000-0000-0000DE0C0000}"/>
    <cellStyle name="Финансовый 4 2 4 2 4" xfId="3295" xr:uid="{00000000-0005-0000-0000-0000DF0C0000}"/>
    <cellStyle name="Финансовый 4 2 4 3" xfId="3296" xr:uid="{00000000-0005-0000-0000-0000E00C0000}"/>
    <cellStyle name="Финансовый 4 2 4 3 2" xfId="3297" xr:uid="{00000000-0005-0000-0000-0000E10C0000}"/>
    <cellStyle name="Финансовый 4 2 4 3 3" xfId="3298" xr:uid="{00000000-0005-0000-0000-0000E20C0000}"/>
    <cellStyle name="Финансовый 4 2 4 4" xfId="3299" xr:uid="{00000000-0005-0000-0000-0000E30C0000}"/>
    <cellStyle name="Финансовый 4 2 4 5" xfId="3300" xr:uid="{00000000-0005-0000-0000-0000E40C0000}"/>
    <cellStyle name="Финансовый 4 2 5" xfId="3301" xr:uid="{00000000-0005-0000-0000-0000E50C0000}"/>
    <cellStyle name="Финансовый 4 2 5 2" xfId="3302" xr:uid="{00000000-0005-0000-0000-0000E60C0000}"/>
    <cellStyle name="Финансовый 4 2 5 2 2" xfId="3303" xr:uid="{00000000-0005-0000-0000-0000E70C0000}"/>
    <cellStyle name="Финансовый 4 2 5 2 3" xfId="3304" xr:uid="{00000000-0005-0000-0000-0000E80C0000}"/>
    <cellStyle name="Финансовый 4 2 5 3" xfId="3305" xr:uid="{00000000-0005-0000-0000-0000E90C0000}"/>
    <cellStyle name="Финансовый 4 2 5 4" xfId="3306" xr:uid="{00000000-0005-0000-0000-0000EA0C0000}"/>
    <cellStyle name="Финансовый 4 2 6" xfId="3307" xr:uid="{00000000-0005-0000-0000-0000EB0C0000}"/>
    <cellStyle name="Финансовый 4 2 6 2" xfId="3308" xr:uid="{00000000-0005-0000-0000-0000EC0C0000}"/>
    <cellStyle name="Финансовый 4 2 6 2 2" xfId="3309" xr:uid="{00000000-0005-0000-0000-0000ED0C0000}"/>
    <cellStyle name="Финансовый 4 2 6 2 3" xfId="3310" xr:uid="{00000000-0005-0000-0000-0000EE0C0000}"/>
    <cellStyle name="Финансовый 4 2 6 3" xfId="3311" xr:uid="{00000000-0005-0000-0000-0000EF0C0000}"/>
    <cellStyle name="Финансовый 4 2 6 4" xfId="3312" xr:uid="{00000000-0005-0000-0000-0000F00C0000}"/>
    <cellStyle name="Финансовый 4 2 7" xfId="3313" xr:uid="{00000000-0005-0000-0000-0000F10C0000}"/>
    <cellStyle name="Финансовый 4 2 7 2" xfId="3314" xr:uid="{00000000-0005-0000-0000-0000F20C0000}"/>
    <cellStyle name="Финансовый 4 2 7 2 2" xfId="3315" xr:uid="{00000000-0005-0000-0000-0000F30C0000}"/>
    <cellStyle name="Финансовый 4 2 7 2 3" xfId="3316" xr:uid="{00000000-0005-0000-0000-0000F40C0000}"/>
    <cellStyle name="Финансовый 4 2 7 3" xfId="3317" xr:uid="{00000000-0005-0000-0000-0000F50C0000}"/>
    <cellStyle name="Финансовый 4 2 7 4" xfId="3318" xr:uid="{00000000-0005-0000-0000-0000F60C0000}"/>
    <cellStyle name="Финансовый 4 2 8" xfId="3319" xr:uid="{00000000-0005-0000-0000-0000F70C0000}"/>
    <cellStyle name="Финансовый 4 2 8 2" xfId="3320" xr:uid="{00000000-0005-0000-0000-0000F80C0000}"/>
    <cellStyle name="Финансовый 4 2 8 2 2" xfId="3321" xr:uid="{00000000-0005-0000-0000-0000F90C0000}"/>
    <cellStyle name="Финансовый 4 2 8 2 3" xfId="3322" xr:uid="{00000000-0005-0000-0000-0000FA0C0000}"/>
    <cellStyle name="Финансовый 4 2 8 3" xfId="3323" xr:uid="{00000000-0005-0000-0000-0000FB0C0000}"/>
    <cellStyle name="Финансовый 4 2 8 4" xfId="3324" xr:uid="{00000000-0005-0000-0000-0000FC0C0000}"/>
    <cellStyle name="Финансовый 4 2 9" xfId="3325" xr:uid="{00000000-0005-0000-0000-0000FD0C0000}"/>
    <cellStyle name="Финансовый 4 2 9 2" xfId="3326" xr:uid="{00000000-0005-0000-0000-0000FE0C0000}"/>
    <cellStyle name="Финансовый 4 2 9 3" xfId="3327" xr:uid="{00000000-0005-0000-0000-0000FF0C0000}"/>
    <cellStyle name="Финансовый 4 3" xfId="3328" xr:uid="{00000000-0005-0000-0000-0000000D0000}"/>
    <cellStyle name="Финансовый 4 4" xfId="3329" xr:uid="{00000000-0005-0000-0000-0000010D0000}"/>
    <cellStyle name="Финансовый 5" xfId="3330" xr:uid="{00000000-0005-0000-0000-0000020D0000}"/>
    <cellStyle name="Финансовый 5 10" xfId="3331" xr:uid="{00000000-0005-0000-0000-0000030D0000}"/>
    <cellStyle name="Финансовый 5 10 2" xfId="3332" xr:uid="{00000000-0005-0000-0000-0000040D0000}"/>
    <cellStyle name="Финансовый 5 10 2 2" xfId="3333" xr:uid="{00000000-0005-0000-0000-0000050D0000}"/>
    <cellStyle name="Финансовый 5 10 2 3" xfId="3334" xr:uid="{00000000-0005-0000-0000-0000060D0000}"/>
    <cellStyle name="Финансовый 5 10 3" xfId="3335" xr:uid="{00000000-0005-0000-0000-0000070D0000}"/>
    <cellStyle name="Финансовый 5 10 4" xfId="3336" xr:uid="{00000000-0005-0000-0000-0000080D0000}"/>
    <cellStyle name="Финансовый 5 11" xfId="3337" xr:uid="{00000000-0005-0000-0000-0000090D0000}"/>
    <cellStyle name="Финансовый 5 11 2" xfId="3338" xr:uid="{00000000-0005-0000-0000-00000A0D0000}"/>
    <cellStyle name="Финансовый 5 11 2 2" xfId="3339" xr:uid="{00000000-0005-0000-0000-00000B0D0000}"/>
    <cellStyle name="Финансовый 5 11 2 3" xfId="3340" xr:uid="{00000000-0005-0000-0000-00000C0D0000}"/>
    <cellStyle name="Финансовый 5 11 3" xfId="3341" xr:uid="{00000000-0005-0000-0000-00000D0D0000}"/>
    <cellStyle name="Финансовый 5 11 4" xfId="3342" xr:uid="{00000000-0005-0000-0000-00000E0D0000}"/>
    <cellStyle name="Финансовый 5 12" xfId="3343" xr:uid="{00000000-0005-0000-0000-00000F0D0000}"/>
    <cellStyle name="Финансовый 5 12 2" xfId="3344" xr:uid="{00000000-0005-0000-0000-0000100D0000}"/>
    <cellStyle name="Финансовый 5 12 3" xfId="3345" xr:uid="{00000000-0005-0000-0000-0000110D0000}"/>
    <cellStyle name="Финансовый 5 13" xfId="3346" xr:uid="{00000000-0005-0000-0000-0000120D0000}"/>
    <cellStyle name="Финансовый 5 14" xfId="3347" xr:uid="{00000000-0005-0000-0000-0000130D0000}"/>
    <cellStyle name="Финансовый 5 15" xfId="3348" xr:uid="{00000000-0005-0000-0000-0000140D0000}"/>
    <cellStyle name="Финансовый 5 16" xfId="3349" xr:uid="{00000000-0005-0000-0000-0000150D0000}"/>
    <cellStyle name="Финансовый 5 2" xfId="3350" xr:uid="{00000000-0005-0000-0000-0000160D0000}"/>
    <cellStyle name="Финансовый 5 2 10" xfId="3351" xr:uid="{00000000-0005-0000-0000-0000170D0000}"/>
    <cellStyle name="Финансовый 5 2 10 2" xfId="3352" xr:uid="{00000000-0005-0000-0000-0000180D0000}"/>
    <cellStyle name="Финансовый 5 2 10 3" xfId="3353" xr:uid="{00000000-0005-0000-0000-0000190D0000}"/>
    <cellStyle name="Финансовый 5 2 11" xfId="3354" xr:uid="{00000000-0005-0000-0000-00001A0D0000}"/>
    <cellStyle name="Финансовый 5 2 12" xfId="3355" xr:uid="{00000000-0005-0000-0000-00001B0D0000}"/>
    <cellStyle name="Финансовый 5 2 13" xfId="3356" xr:uid="{00000000-0005-0000-0000-00001C0D0000}"/>
    <cellStyle name="Финансовый 5 2 14" xfId="3357" xr:uid="{00000000-0005-0000-0000-00001D0D0000}"/>
    <cellStyle name="Финансовый 5 2 2" xfId="3358" xr:uid="{00000000-0005-0000-0000-00001E0D0000}"/>
    <cellStyle name="Финансовый 5 2 2 10" xfId="3359" xr:uid="{00000000-0005-0000-0000-00001F0D0000}"/>
    <cellStyle name="Финансовый 5 2 2 11" xfId="3360" xr:uid="{00000000-0005-0000-0000-0000200D0000}"/>
    <cellStyle name="Финансовый 5 2 2 12" xfId="3361" xr:uid="{00000000-0005-0000-0000-0000210D0000}"/>
    <cellStyle name="Финансовый 5 2 2 13" xfId="3362" xr:uid="{00000000-0005-0000-0000-0000220D0000}"/>
    <cellStyle name="Финансовый 5 2 2 2" xfId="3363" xr:uid="{00000000-0005-0000-0000-0000230D0000}"/>
    <cellStyle name="Финансовый 5 2 2 2 2" xfId="3364" xr:uid="{00000000-0005-0000-0000-0000240D0000}"/>
    <cellStyle name="Финансовый 5 2 2 2 2 2" xfId="3365" xr:uid="{00000000-0005-0000-0000-0000250D0000}"/>
    <cellStyle name="Финансовый 5 2 2 2 2 2 2" xfId="3366" xr:uid="{00000000-0005-0000-0000-0000260D0000}"/>
    <cellStyle name="Финансовый 5 2 2 2 2 2 2 2" xfId="3367" xr:uid="{00000000-0005-0000-0000-0000270D0000}"/>
    <cellStyle name="Финансовый 5 2 2 2 2 2 2 3" xfId="3368" xr:uid="{00000000-0005-0000-0000-0000280D0000}"/>
    <cellStyle name="Финансовый 5 2 2 2 2 2 3" xfId="3369" xr:uid="{00000000-0005-0000-0000-0000290D0000}"/>
    <cellStyle name="Финансовый 5 2 2 2 2 2 4" xfId="3370" xr:uid="{00000000-0005-0000-0000-00002A0D0000}"/>
    <cellStyle name="Финансовый 5 2 2 2 2 3" xfId="3371" xr:uid="{00000000-0005-0000-0000-00002B0D0000}"/>
    <cellStyle name="Финансовый 5 2 2 2 2 3 2" xfId="3372" xr:uid="{00000000-0005-0000-0000-00002C0D0000}"/>
    <cellStyle name="Финансовый 5 2 2 2 2 3 3" xfId="3373" xr:uid="{00000000-0005-0000-0000-00002D0D0000}"/>
    <cellStyle name="Финансовый 5 2 2 2 2 4" xfId="3374" xr:uid="{00000000-0005-0000-0000-00002E0D0000}"/>
    <cellStyle name="Финансовый 5 2 2 2 2 5" xfId="3375" xr:uid="{00000000-0005-0000-0000-00002F0D0000}"/>
    <cellStyle name="Финансовый 5 2 2 2 3" xfId="3376" xr:uid="{00000000-0005-0000-0000-0000300D0000}"/>
    <cellStyle name="Финансовый 5 2 2 2 3 2" xfId="3377" xr:uid="{00000000-0005-0000-0000-0000310D0000}"/>
    <cellStyle name="Финансовый 5 2 2 2 3 2 2" xfId="3378" xr:uid="{00000000-0005-0000-0000-0000320D0000}"/>
    <cellStyle name="Финансовый 5 2 2 2 3 2 2 2" xfId="3379" xr:uid="{00000000-0005-0000-0000-0000330D0000}"/>
    <cellStyle name="Финансовый 5 2 2 2 3 2 2 3" xfId="3380" xr:uid="{00000000-0005-0000-0000-0000340D0000}"/>
    <cellStyle name="Финансовый 5 2 2 2 3 2 3" xfId="3381" xr:uid="{00000000-0005-0000-0000-0000350D0000}"/>
    <cellStyle name="Финансовый 5 2 2 2 3 2 4" xfId="3382" xr:uid="{00000000-0005-0000-0000-0000360D0000}"/>
    <cellStyle name="Финансовый 5 2 2 2 3 3" xfId="3383" xr:uid="{00000000-0005-0000-0000-0000370D0000}"/>
    <cellStyle name="Финансовый 5 2 2 2 3 3 2" xfId="3384" xr:uid="{00000000-0005-0000-0000-0000380D0000}"/>
    <cellStyle name="Финансовый 5 2 2 2 3 3 3" xfId="3385" xr:uid="{00000000-0005-0000-0000-0000390D0000}"/>
    <cellStyle name="Финансовый 5 2 2 2 3 4" xfId="3386" xr:uid="{00000000-0005-0000-0000-00003A0D0000}"/>
    <cellStyle name="Финансовый 5 2 2 2 3 5" xfId="3387" xr:uid="{00000000-0005-0000-0000-00003B0D0000}"/>
    <cellStyle name="Финансовый 5 2 2 2 4" xfId="3388" xr:uid="{00000000-0005-0000-0000-00003C0D0000}"/>
    <cellStyle name="Финансовый 5 2 2 2 4 2" xfId="3389" xr:uid="{00000000-0005-0000-0000-00003D0D0000}"/>
    <cellStyle name="Финансовый 5 2 2 2 4 2 2" xfId="3390" xr:uid="{00000000-0005-0000-0000-00003E0D0000}"/>
    <cellStyle name="Финансовый 5 2 2 2 4 2 3" xfId="3391" xr:uid="{00000000-0005-0000-0000-00003F0D0000}"/>
    <cellStyle name="Финансовый 5 2 2 2 4 3" xfId="3392" xr:uid="{00000000-0005-0000-0000-0000400D0000}"/>
    <cellStyle name="Финансовый 5 2 2 2 4 4" xfId="3393" xr:uid="{00000000-0005-0000-0000-0000410D0000}"/>
    <cellStyle name="Финансовый 5 2 2 2 5" xfId="3394" xr:uid="{00000000-0005-0000-0000-0000420D0000}"/>
    <cellStyle name="Финансовый 5 2 2 2 5 2" xfId="3395" xr:uid="{00000000-0005-0000-0000-0000430D0000}"/>
    <cellStyle name="Финансовый 5 2 2 2 5 3" xfId="3396" xr:uid="{00000000-0005-0000-0000-0000440D0000}"/>
    <cellStyle name="Финансовый 5 2 2 2 6" xfId="3397" xr:uid="{00000000-0005-0000-0000-0000450D0000}"/>
    <cellStyle name="Финансовый 5 2 2 2 7" xfId="3398" xr:uid="{00000000-0005-0000-0000-0000460D0000}"/>
    <cellStyle name="Финансовый 5 2 2 2 8" xfId="3399" xr:uid="{00000000-0005-0000-0000-0000470D0000}"/>
    <cellStyle name="Финансовый 5 2 2 3" xfId="3400" xr:uid="{00000000-0005-0000-0000-0000480D0000}"/>
    <cellStyle name="Финансовый 5 2 2 3 2" xfId="3401" xr:uid="{00000000-0005-0000-0000-0000490D0000}"/>
    <cellStyle name="Финансовый 5 2 2 3 2 2" xfId="3402" xr:uid="{00000000-0005-0000-0000-00004A0D0000}"/>
    <cellStyle name="Финансовый 5 2 2 3 2 2 2" xfId="3403" xr:uid="{00000000-0005-0000-0000-00004B0D0000}"/>
    <cellStyle name="Финансовый 5 2 2 3 2 2 3" xfId="3404" xr:uid="{00000000-0005-0000-0000-00004C0D0000}"/>
    <cellStyle name="Финансовый 5 2 2 3 2 3" xfId="3405" xr:uid="{00000000-0005-0000-0000-00004D0D0000}"/>
    <cellStyle name="Финансовый 5 2 2 3 2 4" xfId="3406" xr:uid="{00000000-0005-0000-0000-00004E0D0000}"/>
    <cellStyle name="Финансовый 5 2 2 3 3" xfId="3407" xr:uid="{00000000-0005-0000-0000-00004F0D0000}"/>
    <cellStyle name="Финансовый 5 2 2 3 3 2" xfId="3408" xr:uid="{00000000-0005-0000-0000-0000500D0000}"/>
    <cellStyle name="Финансовый 5 2 2 3 3 3" xfId="3409" xr:uid="{00000000-0005-0000-0000-0000510D0000}"/>
    <cellStyle name="Финансовый 5 2 2 3 4" xfId="3410" xr:uid="{00000000-0005-0000-0000-0000520D0000}"/>
    <cellStyle name="Финансовый 5 2 2 3 5" xfId="3411" xr:uid="{00000000-0005-0000-0000-0000530D0000}"/>
    <cellStyle name="Финансовый 5 2 2 4" xfId="3412" xr:uid="{00000000-0005-0000-0000-0000540D0000}"/>
    <cellStyle name="Финансовый 5 2 2 4 2" xfId="3413" xr:uid="{00000000-0005-0000-0000-0000550D0000}"/>
    <cellStyle name="Финансовый 5 2 2 4 2 2" xfId="3414" xr:uid="{00000000-0005-0000-0000-0000560D0000}"/>
    <cellStyle name="Финансовый 5 2 2 4 2 2 2" xfId="3415" xr:uid="{00000000-0005-0000-0000-0000570D0000}"/>
    <cellStyle name="Финансовый 5 2 2 4 2 2 3" xfId="3416" xr:uid="{00000000-0005-0000-0000-0000580D0000}"/>
    <cellStyle name="Финансовый 5 2 2 4 2 3" xfId="3417" xr:uid="{00000000-0005-0000-0000-0000590D0000}"/>
    <cellStyle name="Финансовый 5 2 2 4 2 4" xfId="3418" xr:uid="{00000000-0005-0000-0000-00005A0D0000}"/>
    <cellStyle name="Финансовый 5 2 2 4 3" xfId="3419" xr:uid="{00000000-0005-0000-0000-00005B0D0000}"/>
    <cellStyle name="Финансовый 5 2 2 4 3 2" xfId="3420" xr:uid="{00000000-0005-0000-0000-00005C0D0000}"/>
    <cellStyle name="Финансовый 5 2 2 4 3 3" xfId="3421" xr:uid="{00000000-0005-0000-0000-00005D0D0000}"/>
    <cellStyle name="Финансовый 5 2 2 4 4" xfId="3422" xr:uid="{00000000-0005-0000-0000-00005E0D0000}"/>
    <cellStyle name="Финансовый 5 2 2 4 5" xfId="3423" xr:uid="{00000000-0005-0000-0000-00005F0D0000}"/>
    <cellStyle name="Финансовый 5 2 2 5" xfId="3424" xr:uid="{00000000-0005-0000-0000-0000600D0000}"/>
    <cellStyle name="Финансовый 5 2 2 5 2" xfId="3425" xr:uid="{00000000-0005-0000-0000-0000610D0000}"/>
    <cellStyle name="Финансовый 5 2 2 5 2 2" xfId="3426" xr:uid="{00000000-0005-0000-0000-0000620D0000}"/>
    <cellStyle name="Финансовый 5 2 2 5 2 3" xfId="3427" xr:uid="{00000000-0005-0000-0000-0000630D0000}"/>
    <cellStyle name="Финансовый 5 2 2 5 3" xfId="3428" xr:uid="{00000000-0005-0000-0000-0000640D0000}"/>
    <cellStyle name="Финансовый 5 2 2 5 4" xfId="3429" xr:uid="{00000000-0005-0000-0000-0000650D0000}"/>
    <cellStyle name="Финансовый 5 2 2 6" xfId="3430" xr:uid="{00000000-0005-0000-0000-0000660D0000}"/>
    <cellStyle name="Финансовый 5 2 2 6 2" xfId="3431" xr:uid="{00000000-0005-0000-0000-0000670D0000}"/>
    <cellStyle name="Финансовый 5 2 2 6 2 2" xfId="3432" xr:uid="{00000000-0005-0000-0000-0000680D0000}"/>
    <cellStyle name="Финансовый 5 2 2 6 2 3" xfId="3433" xr:uid="{00000000-0005-0000-0000-0000690D0000}"/>
    <cellStyle name="Финансовый 5 2 2 6 3" xfId="3434" xr:uid="{00000000-0005-0000-0000-00006A0D0000}"/>
    <cellStyle name="Финансовый 5 2 2 6 4" xfId="3435" xr:uid="{00000000-0005-0000-0000-00006B0D0000}"/>
    <cellStyle name="Финансовый 5 2 2 7" xfId="3436" xr:uid="{00000000-0005-0000-0000-00006C0D0000}"/>
    <cellStyle name="Финансовый 5 2 2 7 2" xfId="3437" xr:uid="{00000000-0005-0000-0000-00006D0D0000}"/>
    <cellStyle name="Финансовый 5 2 2 7 2 2" xfId="3438" xr:uid="{00000000-0005-0000-0000-00006E0D0000}"/>
    <cellStyle name="Финансовый 5 2 2 7 2 3" xfId="3439" xr:uid="{00000000-0005-0000-0000-00006F0D0000}"/>
    <cellStyle name="Финансовый 5 2 2 7 3" xfId="3440" xr:uid="{00000000-0005-0000-0000-0000700D0000}"/>
    <cellStyle name="Финансовый 5 2 2 7 4" xfId="3441" xr:uid="{00000000-0005-0000-0000-0000710D0000}"/>
    <cellStyle name="Финансовый 5 2 2 8" xfId="3442" xr:uid="{00000000-0005-0000-0000-0000720D0000}"/>
    <cellStyle name="Финансовый 5 2 2 8 2" xfId="3443" xr:uid="{00000000-0005-0000-0000-0000730D0000}"/>
    <cellStyle name="Финансовый 5 2 2 8 2 2" xfId="3444" xr:uid="{00000000-0005-0000-0000-0000740D0000}"/>
    <cellStyle name="Финансовый 5 2 2 8 2 3" xfId="3445" xr:uid="{00000000-0005-0000-0000-0000750D0000}"/>
    <cellStyle name="Финансовый 5 2 2 8 3" xfId="3446" xr:uid="{00000000-0005-0000-0000-0000760D0000}"/>
    <cellStyle name="Финансовый 5 2 2 8 4" xfId="3447" xr:uid="{00000000-0005-0000-0000-0000770D0000}"/>
    <cellStyle name="Финансовый 5 2 2 9" xfId="3448" xr:uid="{00000000-0005-0000-0000-0000780D0000}"/>
    <cellStyle name="Финансовый 5 2 2 9 2" xfId="3449" xr:uid="{00000000-0005-0000-0000-0000790D0000}"/>
    <cellStyle name="Финансовый 5 2 2 9 3" xfId="3450" xr:uid="{00000000-0005-0000-0000-00007A0D0000}"/>
    <cellStyle name="Финансовый 5 2 3" xfId="3451" xr:uid="{00000000-0005-0000-0000-00007B0D0000}"/>
    <cellStyle name="Финансовый 5 2 3 2" xfId="3452" xr:uid="{00000000-0005-0000-0000-00007C0D0000}"/>
    <cellStyle name="Финансовый 5 2 3 2 2" xfId="3453" xr:uid="{00000000-0005-0000-0000-00007D0D0000}"/>
    <cellStyle name="Финансовый 5 2 3 2 2 2" xfId="3454" xr:uid="{00000000-0005-0000-0000-00007E0D0000}"/>
    <cellStyle name="Финансовый 5 2 3 2 2 2 2" xfId="3455" xr:uid="{00000000-0005-0000-0000-00007F0D0000}"/>
    <cellStyle name="Финансовый 5 2 3 2 2 2 3" xfId="3456" xr:uid="{00000000-0005-0000-0000-0000800D0000}"/>
    <cellStyle name="Финансовый 5 2 3 2 2 3" xfId="3457" xr:uid="{00000000-0005-0000-0000-0000810D0000}"/>
    <cellStyle name="Финансовый 5 2 3 2 2 4" xfId="3458" xr:uid="{00000000-0005-0000-0000-0000820D0000}"/>
    <cellStyle name="Финансовый 5 2 3 2 3" xfId="3459" xr:uid="{00000000-0005-0000-0000-0000830D0000}"/>
    <cellStyle name="Финансовый 5 2 3 2 3 2" xfId="3460" xr:uid="{00000000-0005-0000-0000-0000840D0000}"/>
    <cellStyle name="Финансовый 5 2 3 2 3 3" xfId="3461" xr:uid="{00000000-0005-0000-0000-0000850D0000}"/>
    <cellStyle name="Финансовый 5 2 3 2 4" xfId="3462" xr:uid="{00000000-0005-0000-0000-0000860D0000}"/>
    <cellStyle name="Финансовый 5 2 3 2 5" xfId="3463" xr:uid="{00000000-0005-0000-0000-0000870D0000}"/>
    <cellStyle name="Финансовый 5 2 3 3" xfId="3464" xr:uid="{00000000-0005-0000-0000-0000880D0000}"/>
    <cellStyle name="Финансовый 5 2 3 3 2" xfId="3465" xr:uid="{00000000-0005-0000-0000-0000890D0000}"/>
    <cellStyle name="Финансовый 5 2 3 3 2 2" xfId="3466" xr:uid="{00000000-0005-0000-0000-00008A0D0000}"/>
    <cellStyle name="Финансовый 5 2 3 3 2 2 2" xfId="3467" xr:uid="{00000000-0005-0000-0000-00008B0D0000}"/>
    <cellStyle name="Финансовый 5 2 3 3 2 2 3" xfId="3468" xr:uid="{00000000-0005-0000-0000-00008C0D0000}"/>
    <cellStyle name="Финансовый 5 2 3 3 2 3" xfId="3469" xr:uid="{00000000-0005-0000-0000-00008D0D0000}"/>
    <cellStyle name="Финансовый 5 2 3 3 2 4" xfId="3470" xr:uid="{00000000-0005-0000-0000-00008E0D0000}"/>
    <cellStyle name="Финансовый 5 2 3 3 3" xfId="3471" xr:uid="{00000000-0005-0000-0000-00008F0D0000}"/>
    <cellStyle name="Финансовый 5 2 3 3 3 2" xfId="3472" xr:uid="{00000000-0005-0000-0000-0000900D0000}"/>
    <cellStyle name="Финансовый 5 2 3 3 3 3" xfId="3473" xr:uid="{00000000-0005-0000-0000-0000910D0000}"/>
    <cellStyle name="Финансовый 5 2 3 3 4" xfId="3474" xr:uid="{00000000-0005-0000-0000-0000920D0000}"/>
    <cellStyle name="Финансовый 5 2 3 3 5" xfId="3475" xr:uid="{00000000-0005-0000-0000-0000930D0000}"/>
    <cellStyle name="Финансовый 5 2 3 4" xfId="3476" xr:uid="{00000000-0005-0000-0000-0000940D0000}"/>
    <cellStyle name="Финансовый 5 2 3 4 2" xfId="3477" xr:uid="{00000000-0005-0000-0000-0000950D0000}"/>
    <cellStyle name="Финансовый 5 2 3 4 2 2" xfId="3478" xr:uid="{00000000-0005-0000-0000-0000960D0000}"/>
    <cellStyle name="Финансовый 5 2 3 4 2 3" xfId="3479" xr:uid="{00000000-0005-0000-0000-0000970D0000}"/>
    <cellStyle name="Финансовый 5 2 3 4 3" xfId="3480" xr:uid="{00000000-0005-0000-0000-0000980D0000}"/>
    <cellStyle name="Финансовый 5 2 3 4 4" xfId="3481" xr:uid="{00000000-0005-0000-0000-0000990D0000}"/>
    <cellStyle name="Финансовый 5 2 3 5" xfId="3482" xr:uid="{00000000-0005-0000-0000-00009A0D0000}"/>
    <cellStyle name="Финансовый 5 2 3 5 2" xfId="3483" xr:uid="{00000000-0005-0000-0000-00009B0D0000}"/>
    <cellStyle name="Финансовый 5 2 3 5 3" xfId="3484" xr:uid="{00000000-0005-0000-0000-00009C0D0000}"/>
    <cellStyle name="Финансовый 5 2 3 6" xfId="3485" xr:uid="{00000000-0005-0000-0000-00009D0D0000}"/>
    <cellStyle name="Финансовый 5 2 3 7" xfId="3486" xr:uid="{00000000-0005-0000-0000-00009E0D0000}"/>
    <cellStyle name="Финансовый 5 2 3 8" xfId="3487" xr:uid="{00000000-0005-0000-0000-00009F0D0000}"/>
    <cellStyle name="Финансовый 5 2 4" xfId="3488" xr:uid="{00000000-0005-0000-0000-0000A00D0000}"/>
    <cellStyle name="Финансовый 5 2 4 2" xfId="3489" xr:uid="{00000000-0005-0000-0000-0000A10D0000}"/>
    <cellStyle name="Финансовый 5 2 4 2 2" xfId="3490" xr:uid="{00000000-0005-0000-0000-0000A20D0000}"/>
    <cellStyle name="Финансовый 5 2 4 2 2 2" xfId="3491" xr:uid="{00000000-0005-0000-0000-0000A30D0000}"/>
    <cellStyle name="Финансовый 5 2 4 2 2 3" xfId="3492" xr:uid="{00000000-0005-0000-0000-0000A40D0000}"/>
    <cellStyle name="Финансовый 5 2 4 2 3" xfId="3493" xr:uid="{00000000-0005-0000-0000-0000A50D0000}"/>
    <cellStyle name="Финансовый 5 2 4 2 4" xfId="3494" xr:uid="{00000000-0005-0000-0000-0000A60D0000}"/>
    <cellStyle name="Финансовый 5 2 4 3" xfId="3495" xr:uid="{00000000-0005-0000-0000-0000A70D0000}"/>
    <cellStyle name="Финансовый 5 2 4 3 2" xfId="3496" xr:uid="{00000000-0005-0000-0000-0000A80D0000}"/>
    <cellStyle name="Финансовый 5 2 4 3 3" xfId="3497" xr:uid="{00000000-0005-0000-0000-0000A90D0000}"/>
    <cellStyle name="Финансовый 5 2 4 4" xfId="3498" xr:uid="{00000000-0005-0000-0000-0000AA0D0000}"/>
    <cellStyle name="Финансовый 5 2 4 5" xfId="3499" xr:uid="{00000000-0005-0000-0000-0000AB0D0000}"/>
    <cellStyle name="Финансовый 5 2 5" xfId="3500" xr:uid="{00000000-0005-0000-0000-0000AC0D0000}"/>
    <cellStyle name="Финансовый 5 2 5 2" xfId="3501" xr:uid="{00000000-0005-0000-0000-0000AD0D0000}"/>
    <cellStyle name="Финансовый 5 2 5 2 2" xfId="3502" xr:uid="{00000000-0005-0000-0000-0000AE0D0000}"/>
    <cellStyle name="Финансовый 5 2 5 2 2 2" xfId="3503" xr:uid="{00000000-0005-0000-0000-0000AF0D0000}"/>
    <cellStyle name="Финансовый 5 2 5 2 2 3" xfId="3504" xr:uid="{00000000-0005-0000-0000-0000B00D0000}"/>
    <cellStyle name="Финансовый 5 2 5 2 3" xfId="3505" xr:uid="{00000000-0005-0000-0000-0000B10D0000}"/>
    <cellStyle name="Финансовый 5 2 5 2 4" xfId="3506" xr:uid="{00000000-0005-0000-0000-0000B20D0000}"/>
    <cellStyle name="Финансовый 5 2 5 3" xfId="3507" xr:uid="{00000000-0005-0000-0000-0000B30D0000}"/>
    <cellStyle name="Финансовый 5 2 5 3 2" xfId="3508" xr:uid="{00000000-0005-0000-0000-0000B40D0000}"/>
    <cellStyle name="Финансовый 5 2 5 3 3" xfId="3509" xr:uid="{00000000-0005-0000-0000-0000B50D0000}"/>
    <cellStyle name="Финансовый 5 2 5 4" xfId="3510" xr:uid="{00000000-0005-0000-0000-0000B60D0000}"/>
    <cellStyle name="Финансовый 5 2 5 5" xfId="3511" xr:uid="{00000000-0005-0000-0000-0000B70D0000}"/>
    <cellStyle name="Финансовый 5 2 6" xfId="3512" xr:uid="{00000000-0005-0000-0000-0000B80D0000}"/>
    <cellStyle name="Финансовый 5 2 6 2" xfId="3513" xr:uid="{00000000-0005-0000-0000-0000B90D0000}"/>
    <cellStyle name="Финансовый 5 2 6 2 2" xfId="3514" xr:uid="{00000000-0005-0000-0000-0000BA0D0000}"/>
    <cellStyle name="Финансовый 5 2 6 2 3" xfId="3515" xr:uid="{00000000-0005-0000-0000-0000BB0D0000}"/>
    <cellStyle name="Финансовый 5 2 6 3" xfId="3516" xr:uid="{00000000-0005-0000-0000-0000BC0D0000}"/>
    <cellStyle name="Финансовый 5 2 6 4" xfId="3517" xr:uid="{00000000-0005-0000-0000-0000BD0D0000}"/>
    <cellStyle name="Финансовый 5 2 7" xfId="3518" xr:uid="{00000000-0005-0000-0000-0000BE0D0000}"/>
    <cellStyle name="Финансовый 5 2 7 2" xfId="3519" xr:uid="{00000000-0005-0000-0000-0000BF0D0000}"/>
    <cellStyle name="Финансовый 5 2 7 2 2" xfId="3520" xr:uid="{00000000-0005-0000-0000-0000C00D0000}"/>
    <cellStyle name="Финансовый 5 2 7 2 3" xfId="3521" xr:uid="{00000000-0005-0000-0000-0000C10D0000}"/>
    <cellStyle name="Финансовый 5 2 7 3" xfId="3522" xr:uid="{00000000-0005-0000-0000-0000C20D0000}"/>
    <cellStyle name="Финансовый 5 2 7 4" xfId="3523" xr:uid="{00000000-0005-0000-0000-0000C30D0000}"/>
    <cellStyle name="Финансовый 5 2 8" xfId="3524" xr:uid="{00000000-0005-0000-0000-0000C40D0000}"/>
    <cellStyle name="Финансовый 5 2 8 2" xfId="3525" xr:uid="{00000000-0005-0000-0000-0000C50D0000}"/>
    <cellStyle name="Финансовый 5 2 8 2 2" xfId="3526" xr:uid="{00000000-0005-0000-0000-0000C60D0000}"/>
    <cellStyle name="Финансовый 5 2 8 2 3" xfId="3527" xr:uid="{00000000-0005-0000-0000-0000C70D0000}"/>
    <cellStyle name="Финансовый 5 2 8 3" xfId="3528" xr:uid="{00000000-0005-0000-0000-0000C80D0000}"/>
    <cellStyle name="Финансовый 5 2 8 4" xfId="3529" xr:uid="{00000000-0005-0000-0000-0000C90D0000}"/>
    <cellStyle name="Финансовый 5 2 9" xfId="3530" xr:uid="{00000000-0005-0000-0000-0000CA0D0000}"/>
    <cellStyle name="Финансовый 5 2 9 2" xfId="3531" xr:uid="{00000000-0005-0000-0000-0000CB0D0000}"/>
    <cellStyle name="Финансовый 5 2 9 2 2" xfId="3532" xr:uid="{00000000-0005-0000-0000-0000CC0D0000}"/>
    <cellStyle name="Финансовый 5 2 9 2 3" xfId="3533" xr:uid="{00000000-0005-0000-0000-0000CD0D0000}"/>
    <cellStyle name="Финансовый 5 2 9 3" xfId="3534" xr:uid="{00000000-0005-0000-0000-0000CE0D0000}"/>
    <cellStyle name="Финансовый 5 2 9 4" xfId="3535" xr:uid="{00000000-0005-0000-0000-0000CF0D0000}"/>
    <cellStyle name="Финансовый 5 3" xfId="3536" xr:uid="{00000000-0005-0000-0000-0000D00D0000}"/>
    <cellStyle name="Финансовый 5 3 10" xfId="3537" xr:uid="{00000000-0005-0000-0000-0000D10D0000}"/>
    <cellStyle name="Финансовый 5 3 11" xfId="3538" xr:uid="{00000000-0005-0000-0000-0000D20D0000}"/>
    <cellStyle name="Финансовый 5 3 12" xfId="3539" xr:uid="{00000000-0005-0000-0000-0000D30D0000}"/>
    <cellStyle name="Финансовый 5 3 13" xfId="3540" xr:uid="{00000000-0005-0000-0000-0000D40D0000}"/>
    <cellStyle name="Финансовый 5 3 2" xfId="3541" xr:uid="{00000000-0005-0000-0000-0000D50D0000}"/>
    <cellStyle name="Финансовый 5 3 2 2" xfId="3542" xr:uid="{00000000-0005-0000-0000-0000D60D0000}"/>
    <cellStyle name="Финансовый 5 3 2 2 2" xfId="3543" xr:uid="{00000000-0005-0000-0000-0000D70D0000}"/>
    <cellStyle name="Финансовый 5 3 2 2 2 2" xfId="3544" xr:uid="{00000000-0005-0000-0000-0000D80D0000}"/>
    <cellStyle name="Финансовый 5 3 2 2 2 2 2" xfId="3545" xr:uid="{00000000-0005-0000-0000-0000D90D0000}"/>
    <cellStyle name="Финансовый 5 3 2 2 2 2 3" xfId="3546" xr:uid="{00000000-0005-0000-0000-0000DA0D0000}"/>
    <cellStyle name="Финансовый 5 3 2 2 2 3" xfId="3547" xr:uid="{00000000-0005-0000-0000-0000DB0D0000}"/>
    <cellStyle name="Финансовый 5 3 2 2 2 4" xfId="3548" xr:uid="{00000000-0005-0000-0000-0000DC0D0000}"/>
    <cellStyle name="Финансовый 5 3 2 2 3" xfId="3549" xr:uid="{00000000-0005-0000-0000-0000DD0D0000}"/>
    <cellStyle name="Финансовый 5 3 2 2 3 2" xfId="3550" xr:uid="{00000000-0005-0000-0000-0000DE0D0000}"/>
    <cellStyle name="Финансовый 5 3 2 2 3 3" xfId="3551" xr:uid="{00000000-0005-0000-0000-0000DF0D0000}"/>
    <cellStyle name="Финансовый 5 3 2 2 4" xfId="3552" xr:uid="{00000000-0005-0000-0000-0000E00D0000}"/>
    <cellStyle name="Финансовый 5 3 2 2 5" xfId="3553" xr:uid="{00000000-0005-0000-0000-0000E10D0000}"/>
    <cellStyle name="Финансовый 5 3 2 3" xfId="3554" xr:uid="{00000000-0005-0000-0000-0000E20D0000}"/>
    <cellStyle name="Финансовый 5 3 2 3 2" xfId="3555" xr:uid="{00000000-0005-0000-0000-0000E30D0000}"/>
    <cellStyle name="Финансовый 5 3 2 3 2 2" xfId="3556" xr:uid="{00000000-0005-0000-0000-0000E40D0000}"/>
    <cellStyle name="Финансовый 5 3 2 3 2 2 2" xfId="3557" xr:uid="{00000000-0005-0000-0000-0000E50D0000}"/>
    <cellStyle name="Финансовый 5 3 2 3 2 2 3" xfId="3558" xr:uid="{00000000-0005-0000-0000-0000E60D0000}"/>
    <cellStyle name="Финансовый 5 3 2 3 2 3" xfId="3559" xr:uid="{00000000-0005-0000-0000-0000E70D0000}"/>
    <cellStyle name="Финансовый 5 3 2 3 2 4" xfId="3560" xr:uid="{00000000-0005-0000-0000-0000E80D0000}"/>
    <cellStyle name="Финансовый 5 3 2 3 3" xfId="3561" xr:uid="{00000000-0005-0000-0000-0000E90D0000}"/>
    <cellStyle name="Финансовый 5 3 2 3 3 2" xfId="3562" xr:uid="{00000000-0005-0000-0000-0000EA0D0000}"/>
    <cellStyle name="Финансовый 5 3 2 3 3 3" xfId="3563" xr:uid="{00000000-0005-0000-0000-0000EB0D0000}"/>
    <cellStyle name="Финансовый 5 3 2 3 4" xfId="3564" xr:uid="{00000000-0005-0000-0000-0000EC0D0000}"/>
    <cellStyle name="Финансовый 5 3 2 3 5" xfId="3565" xr:uid="{00000000-0005-0000-0000-0000ED0D0000}"/>
    <cellStyle name="Финансовый 5 3 2 4" xfId="3566" xr:uid="{00000000-0005-0000-0000-0000EE0D0000}"/>
    <cellStyle name="Финансовый 5 3 2 4 2" xfId="3567" xr:uid="{00000000-0005-0000-0000-0000EF0D0000}"/>
    <cellStyle name="Финансовый 5 3 2 4 2 2" xfId="3568" xr:uid="{00000000-0005-0000-0000-0000F00D0000}"/>
    <cellStyle name="Финансовый 5 3 2 4 2 3" xfId="3569" xr:uid="{00000000-0005-0000-0000-0000F10D0000}"/>
    <cellStyle name="Финансовый 5 3 2 4 3" xfId="3570" xr:uid="{00000000-0005-0000-0000-0000F20D0000}"/>
    <cellStyle name="Финансовый 5 3 2 4 4" xfId="3571" xr:uid="{00000000-0005-0000-0000-0000F30D0000}"/>
    <cellStyle name="Финансовый 5 3 2 5" xfId="3572" xr:uid="{00000000-0005-0000-0000-0000F40D0000}"/>
    <cellStyle name="Финансовый 5 3 2 5 2" xfId="3573" xr:uid="{00000000-0005-0000-0000-0000F50D0000}"/>
    <cellStyle name="Финансовый 5 3 2 5 3" xfId="3574" xr:uid="{00000000-0005-0000-0000-0000F60D0000}"/>
    <cellStyle name="Финансовый 5 3 2 6" xfId="3575" xr:uid="{00000000-0005-0000-0000-0000F70D0000}"/>
    <cellStyle name="Финансовый 5 3 2 7" xfId="3576" xr:uid="{00000000-0005-0000-0000-0000F80D0000}"/>
    <cellStyle name="Финансовый 5 3 2 8" xfId="3577" xr:uid="{00000000-0005-0000-0000-0000F90D0000}"/>
    <cellStyle name="Финансовый 5 3 3" xfId="3578" xr:uid="{00000000-0005-0000-0000-0000FA0D0000}"/>
    <cellStyle name="Финансовый 5 3 3 2" xfId="3579" xr:uid="{00000000-0005-0000-0000-0000FB0D0000}"/>
    <cellStyle name="Финансовый 5 3 3 2 2" xfId="3580" xr:uid="{00000000-0005-0000-0000-0000FC0D0000}"/>
    <cellStyle name="Финансовый 5 3 3 2 2 2" xfId="3581" xr:uid="{00000000-0005-0000-0000-0000FD0D0000}"/>
    <cellStyle name="Финансовый 5 3 3 2 2 3" xfId="3582" xr:uid="{00000000-0005-0000-0000-0000FE0D0000}"/>
    <cellStyle name="Финансовый 5 3 3 2 3" xfId="3583" xr:uid="{00000000-0005-0000-0000-0000FF0D0000}"/>
    <cellStyle name="Финансовый 5 3 3 2 4" xfId="3584" xr:uid="{00000000-0005-0000-0000-0000000E0000}"/>
    <cellStyle name="Финансовый 5 3 3 3" xfId="3585" xr:uid="{00000000-0005-0000-0000-0000010E0000}"/>
    <cellStyle name="Финансовый 5 3 3 3 2" xfId="3586" xr:uid="{00000000-0005-0000-0000-0000020E0000}"/>
    <cellStyle name="Финансовый 5 3 3 3 3" xfId="3587" xr:uid="{00000000-0005-0000-0000-0000030E0000}"/>
    <cellStyle name="Финансовый 5 3 3 4" xfId="3588" xr:uid="{00000000-0005-0000-0000-0000040E0000}"/>
    <cellStyle name="Финансовый 5 3 3 5" xfId="3589" xr:uid="{00000000-0005-0000-0000-0000050E0000}"/>
    <cellStyle name="Финансовый 5 3 4" xfId="3590" xr:uid="{00000000-0005-0000-0000-0000060E0000}"/>
    <cellStyle name="Финансовый 5 3 4 2" xfId="3591" xr:uid="{00000000-0005-0000-0000-0000070E0000}"/>
    <cellStyle name="Финансовый 5 3 4 2 2" xfId="3592" xr:uid="{00000000-0005-0000-0000-0000080E0000}"/>
    <cellStyle name="Финансовый 5 3 4 2 2 2" xfId="3593" xr:uid="{00000000-0005-0000-0000-0000090E0000}"/>
    <cellStyle name="Финансовый 5 3 4 2 2 3" xfId="3594" xr:uid="{00000000-0005-0000-0000-00000A0E0000}"/>
    <cellStyle name="Финансовый 5 3 4 2 3" xfId="3595" xr:uid="{00000000-0005-0000-0000-00000B0E0000}"/>
    <cellStyle name="Финансовый 5 3 4 2 4" xfId="3596" xr:uid="{00000000-0005-0000-0000-00000C0E0000}"/>
    <cellStyle name="Финансовый 5 3 4 3" xfId="3597" xr:uid="{00000000-0005-0000-0000-00000D0E0000}"/>
    <cellStyle name="Финансовый 5 3 4 3 2" xfId="3598" xr:uid="{00000000-0005-0000-0000-00000E0E0000}"/>
    <cellStyle name="Финансовый 5 3 4 3 3" xfId="3599" xr:uid="{00000000-0005-0000-0000-00000F0E0000}"/>
    <cellStyle name="Финансовый 5 3 4 4" xfId="3600" xr:uid="{00000000-0005-0000-0000-0000100E0000}"/>
    <cellStyle name="Финансовый 5 3 4 5" xfId="3601" xr:uid="{00000000-0005-0000-0000-0000110E0000}"/>
    <cellStyle name="Финансовый 5 3 5" xfId="3602" xr:uid="{00000000-0005-0000-0000-0000120E0000}"/>
    <cellStyle name="Финансовый 5 3 5 2" xfId="3603" xr:uid="{00000000-0005-0000-0000-0000130E0000}"/>
    <cellStyle name="Финансовый 5 3 5 2 2" xfId="3604" xr:uid="{00000000-0005-0000-0000-0000140E0000}"/>
    <cellStyle name="Финансовый 5 3 5 2 3" xfId="3605" xr:uid="{00000000-0005-0000-0000-0000150E0000}"/>
    <cellStyle name="Финансовый 5 3 5 3" xfId="3606" xr:uid="{00000000-0005-0000-0000-0000160E0000}"/>
    <cellStyle name="Финансовый 5 3 5 4" xfId="3607" xr:uid="{00000000-0005-0000-0000-0000170E0000}"/>
    <cellStyle name="Финансовый 5 3 6" xfId="3608" xr:uid="{00000000-0005-0000-0000-0000180E0000}"/>
    <cellStyle name="Финансовый 5 3 6 2" xfId="3609" xr:uid="{00000000-0005-0000-0000-0000190E0000}"/>
    <cellStyle name="Финансовый 5 3 6 2 2" xfId="3610" xr:uid="{00000000-0005-0000-0000-00001A0E0000}"/>
    <cellStyle name="Финансовый 5 3 6 2 3" xfId="3611" xr:uid="{00000000-0005-0000-0000-00001B0E0000}"/>
    <cellStyle name="Финансовый 5 3 6 3" xfId="3612" xr:uid="{00000000-0005-0000-0000-00001C0E0000}"/>
    <cellStyle name="Финансовый 5 3 6 4" xfId="3613" xr:uid="{00000000-0005-0000-0000-00001D0E0000}"/>
    <cellStyle name="Финансовый 5 3 7" xfId="3614" xr:uid="{00000000-0005-0000-0000-00001E0E0000}"/>
    <cellStyle name="Финансовый 5 3 7 2" xfId="3615" xr:uid="{00000000-0005-0000-0000-00001F0E0000}"/>
    <cellStyle name="Финансовый 5 3 7 2 2" xfId="3616" xr:uid="{00000000-0005-0000-0000-0000200E0000}"/>
    <cellStyle name="Финансовый 5 3 7 2 3" xfId="3617" xr:uid="{00000000-0005-0000-0000-0000210E0000}"/>
    <cellStyle name="Финансовый 5 3 7 3" xfId="3618" xr:uid="{00000000-0005-0000-0000-0000220E0000}"/>
    <cellStyle name="Финансовый 5 3 7 4" xfId="3619" xr:uid="{00000000-0005-0000-0000-0000230E0000}"/>
    <cellStyle name="Финансовый 5 3 8" xfId="3620" xr:uid="{00000000-0005-0000-0000-0000240E0000}"/>
    <cellStyle name="Финансовый 5 3 8 2" xfId="3621" xr:uid="{00000000-0005-0000-0000-0000250E0000}"/>
    <cellStyle name="Финансовый 5 3 8 2 2" xfId="3622" xr:uid="{00000000-0005-0000-0000-0000260E0000}"/>
    <cellStyle name="Финансовый 5 3 8 2 3" xfId="3623" xr:uid="{00000000-0005-0000-0000-0000270E0000}"/>
    <cellStyle name="Финансовый 5 3 8 3" xfId="3624" xr:uid="{00000000-0005-0000-0000-0000280E0000}"/>
    <cellStyle name="Финансовый 5 3 8 4" xfId="3625" xr:uid="{00000000-0005-0000-0000-0000290E0000}"/>
    <cellStyle name="Финансовый 5 3 9" xfId="3626" xr:uid="{00000000-0005-0000-0000-00002A0E0000}"/>
    <cellStyle name="Финансовый 5 3 9 2" xfId="3627" xr:uid="{00000000-0005-0000-0000-00002B0E0000}"/>
    <cellStyle name="Финансовый 5 3 9 3" xfId="3628" xr:uid="{00000000-0005-0000-0000-00002C0E0000}"/>
    <cellStyle name="Финансовый 5 4" xfId="3629" xr:uid="{00000000-0005-0000-0000-00002D0E0000}"/>
    <cellStyle name="Финансовый 5 4 10" xfId="3630" xr:uid="{00000000-0005-0000-0000-00002E0E0000}"/>
    <cellStyle name="Финансовый 5 4 11" xfId="3631" xr:uid="{00000000-0005-0000-0000-00002F0E0000}"/>
    <cellStyle name="Финансовый 5 4 12" xfId="3632" xr:uid="{00000000-0005-0000-0000-0000300E0000}"/>
    <cellStyle name="Финансовый 5 4 13" xfId="3633" xr:uid="{00000000-0005-0000-0000-0000310E0000}"/>
    <cellStyle name="Финансовый 5 4 2" xfId="3634" xr:uid="{00000000-0005-0000-0000-0000320E0000}"/>
    <cellStyle name="Финансовый 5 4 2 2" xfId="3635" xr:uid="{00000000-0005-0000-0000-0000330E0000}"/>
    <cellStyle name="Финансовый 5 4 2 2 2" xfId="3636" xr:uid="{00000000-0005-0000-0000-0000340E0000}"/>
    <cellStyle name="Финансовый 5 4 2 2 2 2" xfId="3637" xr:uid="{00000000-0005-0000-0000-0000350E0000}"/>
    <cellStyle name="Финансовый 5 4 2 2 2 2 2" xfId="3638" xr:uid="{00000000-0005-0000-0000-0000360E0000}"/>
    <cellStyle name="Финансовый 5 4 2 2 2 2 3" xfId="3639" xr:uid="{00000000-0005-0000-0000-0000370E0000}"/>
    <cellStyle name="Финансовый 5 4 2 2 2 3" xfId="3640" xr:uid="{00000000-0005-0000-0000-0000380E0000}"/>
    <cellStyle name="Финансовый 5 4 2 2 2 4" xfId="3641" xr:uid="{00000000-0005-0000-0000-0000390E0000}"/>
    <cellStyle name="Финансовый 5 4 2 2 3" xfId="3642" xr:uid="{00000000-0005-0000-0000-00003A0E0000}"/>
    <cellStyle name="Финансовый 5 4 2 2 3 2" xfId="3643" xr:uid="{00000000-0005-0000-0000-00003B0E0000}"/>
    <cellStyle name="Финансовый 5 4 2 2 3 3" xfId="3644" xr:uid="{00000000-0005-0000-0000-00003C0E0000}"/>
    <cellStyle name="Финансовый 5 4 2 2 4" xfId="3645" xr:uid="{00000000-0005-0000-0000-00003D0E0000}"/>
    <cellStyle name="Финансовый 5 4 2 2 5" xfId="3646" xr:uid="{00000000-0005-0000-0000-00003E0E0000}"/>
    <cellStyle name="Финансовый 5 4 2 3" xfId="3647" xr:uid="{00000000-0005-0000-0000-00003F0E0000}"/>
    <cellStyle name="Финансовый 5 4 2 3 2" xfId="3648" xr:uid="{00000000-0005-0000-0000-0000400E0000}"/>
    <cellStyle name="Финансовый 5 4 2 3 2 2" xfId="3649" xr:uid="{00000000-0005-0000-0000-0000410E0000}"/>
    <cellStyle name="Финансовый 5 4 2 3 2 2 2" xfId="3650" xr:uid="{00000000-0005-0000-0000-0000420E0000}"/>
    <cellStyle name="Финансовый 5 4 2 3 2 2 3" xfId="3651" xr:uid="{00000000-0005-0000-0000-0000430E0000}"/>
    <cellStyle name="Финансовый 5 4 2 3 2 3" xfId="3652" xr:uid="{00000000-0005-0000-0000-0000440E0000}"/>
    <cellStyle name="Финансовый 5 4 2 3 2 4" xfId="3653" xr:uid="{00000000-0005-0000-0000-0000450E0000}"/>
    <cellStyle name="Финансовый 5 4 2 3 3" xfId="3654" xr:uid="{00000000-0005-0000-0000-0000460E0000}"/>
    <cellStyle name="Финансовый 5 4 2 3 3 2" xfId="3655" xr:uid="{00000000-0005-0000-0000-0000470E0000}"/>
    <cellStyle name="Финансовый 5 4 2 3 3 3" xfId="3656" xr:uid="{00000000-0005-0000-0000-0000480E0000}"/>
    <cellStyle name="Финансовый 5 4 2 3 4" xfId="3657" xr:uid="{00000000-0005-0000-0000-0000490E0000}"/>
    <cellStyle name="Финансовый 5 4 2 3 5" xfId="3658" xr:uid="{00000000-0005-0000-0000-00004A0E0000}"/>
    <cellStyle name="Финансовый 5 4 2 4" xfId="3659" xr:uid="{00000000-0005-0000-0000-00004B0E0000}"/>
    <cellStyle name="Финансовый 5 4 2 4 2" xfId="3660" xr:uid="{00000000-0005-0000-0000-00004C0E0000}"/>
    <cellStyle name="Финансовый 5 4 2 4 2 2" xfId="3661" xr:uid="{00000000-0005-0000-0000-00004D0E0000}"/>
    <cellStyle name="Финансовый 5 4 2 4 2 3" xfId="3662" xr:uid="{00000000-0005-0000-0000-00004E0E0000}"/>
    <cellStyle name="Финансовый 5 4 2 4 3" xfId="3663" xr:uid="{00000000-0005-0000-0000-00004F0E0000}"/>
    <cellStyle name="Финансовый 5 4 2 4 4" xfId="3664" xr:uid="{00000000-0005-0000-0000-0000500E0000}"/>
    <cellStyle name="Финансовый 5 4 2 5" xfId="3665" xr:uid="{00000000-0005-0000-0000-0000510E0000}"/>
    <cellStyle name="Финансовый 5 4 2 5 2" xfId="3666" xr:uid="{00000000-0005-0000-0000-0000520E0000}"/>
    <cellStyle name="Финансовый 5 4 2 5 3" xfId="3667" xr:uid="{00000000-0005-0000-0000-0000530E0000}"/>
    <cellStyle name="Финансовый 5 4 2 6" xfId="3668" xr:uid="{00000000-0005-0000-0000-0000540E0000}"/>
    <cellStyle name="Финансовый 5 4 2 7" xfId="3669" xr:uid="{00000000-0005-0000-0000-0000550E0000}"/>
    <cellStyle name="Финансовый 5 4 2 8" xfId="3670" xr:uid="{00000000-0005-0000-0000-0000560E0000}"/>
    <cellStyle name="Финансовый 5 4 3" xfId="3671" xr:uid="{00000000-0005-0000-0000-0000570E0000}"/>
    <cellStyle name="Финансовый 5 4 3 2" xfId="3672" xr:uid="{00000000-0005-0000-0000-0000580E0000}"/>
    <cellStyle name="Финансовый 5 4 3 2 2" xfId="3673" xr:uid="{00000000-0005-0000-0000-0000590E0000}"/>
    <cellStyle name="Финансовый 5 4 3 2 2 2" xfId="3674" xr:uid="{00000000-0005-0000-0000-00005A0E0000}"/>
    <cellStyle name="Финансовый 5 4 3 2 2 3" xfId="3675" xr:uid="{00000000-0005-0000-0000-00005B0E0000}"/>
    <cellStyle name="Финансовый 5 4 3 2 3" xfId="3676" xr:uid="{00000000-0005-0000-0000-00005C0E0000}"/>
    <cellStyle name="Финансовый 5 4 3 2 4" xfId="3677" xr:uid="{00000000-0005-0000-0000-00005D0E0000}"/>
    <cellStyle name="Финансовый 5 4 3 3" xfId="3678" xr:uid="{00000000-0005-0000-0000-00005E0E0000}"/>
    <cellStyle name="Финансовый 5 4 3 3 2" xfId="3679" xr:uid="{00000000-0005-0000-0000-00005F0E0000}"/>
    <cellStyle name="Финансовый 5 4 3 3 3" xfId="3680" xr:uid="{00000000-0005-0000-0000-0000600E0000}"/>
    <cellStyle name="Финансовый 5 4 3 4" xfId="3681" xr:uid="{00000000-0005-0000-0000-0000610E0000}"/>
    <cellStyle name="Финансовый 5 4 3 5" xfId="3682" xr:uid="{00000000-0005-0000-0000-0000620E0000}"/>
    <cellStyle name="Финансовый 5 4 4" xfId="3683" xr:uid="{00000000-0005-0000-0000-0000630E0000}"/>
    <cellStyle name="Финансовый 5 4 4 2" xfId="3684" xr:uid="{00000000-0005-0000-0000-0000640E0000}"/>
    <cellStyle name="Финансовый 5 4 4 2 2" xfId="3685" xr:uid="{00000000-0005-0000-0000-0000650E0000}"/>
    <cellStyle name="Финансовый 5 4 4 2 2 2" xfId="3686" xr:uid="{00000000-0005-0000-0000-0000660E0000}"/>
    <cellStyle name="Финансовый 5 4 4 2 2 3" xfId="3687" xr:uid="{00000000-0005-0000-0000-0000670E0000}"/>
    <cellStyle name="Финансовый 5 4 4 2 3" xfId="3688" xr:uid="{00000000-0005-0000-0000-0000680E0000}"/>
    <cellStyle name="Финансовый 5 4 4 2 4" xfId="3689" xr:uid="{00000000-0005-0000-0000-0000690E0000}"/>
    <cellStyle name="Финансовый 5 4 4 3" xfId="3690" xr:uid="{00000000-0005-0000-0000-00006A0E0000}"/>
    <cellStyle name="Финансовый 5 4 4 3 2" xfId="3691" xr:uid="{00000000-0005-0000-0000-00006B0E0000}"/>
    <cellStyle name="Финансовый 5 4 4 3 3" xfId="3692" xr:uid="{00000000-0005-0000-0000-00006C0E0000}"/>
    <cellStyle name="Финансовый 5 4 4 4" xfId="3693" xr:uid="{00000000-0005-0000-0000-00006D0E0000}"/>
    <cellStyle name="Финансовый 5 4 4 5" xfId="3694" xr:uid="{00000000-0005-0000-0000-00006E0E0000}"/>
    <cellStyle name="Финансовый 5 4 5" xfId="3695" xr:uid="{00000000-0005-0000-0000-00006F0E0000}"/>
    <cellStyle name="Финансовый 5 4 5 2" xfId="3696" xr:uid="{00000000-0005-0000-0000-0000700E0000}"/>
    <cellStyle name="Финансовый 5 4 5 2 2" xfId="3697" xr:uid="{00000000-0005-0000-0000-0000710E0000}"/>
    <cellStyle name="Финансовый 5 4 5 2 3" xfId="3698" xr:uid="{00000000-0005-0000-0000-0000720E0000}"/>
    <cellStyle name="Финансовый 5 4 5 3" xfId="3699" xr:uid="{00000000-0005-0000-0000-0000730E0000}"/>
    <cellStyle name="Финансовый 5 4 5 4" xfId="3700" xr:uid="{00000000-0005-0000-0000-0000740E0000}"/>
    <cellStyle name="Финансовый 5 4 6" xfId="3701" xr:uid="{00000000-0005-0000-0000-0000750E0000}"/>
    <cellStyle name="Финансовый 5 4 6 2" xfId="3702" xr:uid="{00000000-0005-0000-0000-0000760E0000}"/>
    <cellStyle name="Финансовый 5 4 6 2 2" xfId="3703" xr:uid="{00000000-0005-0000-0000-0000770E0000}"/>
    <cellStyle name="Финансовый 5 4 6 2 3" xfId="3704" xr:uid="{00000000-0005-0000-0000-0000780E0000}"/>
    <cellStyle name="Финансовый 5 4 6 3" xfId="3705" xr:uid="{00000000-0005-0000-0000-0000790E0000}"/>
    <cellStyle name="Финансовый 5 4 6 4" xfId="3706" xr:uid="{00000000-0005-0000-0000-00007A0E0000}"/>
    <cellStyle name="Финансовый 5 4 7" xfId="3707" xr:uid="{00000000-0005-0000-0000-00007B0E0000}"/>
    <cellStyle name="Финансовый 5 4 7 2" xfId="3708" xr:uid="{00000000-0005-0000-0000-00007C0E0000}"/>
    <cellStyle name="Финансовый 5 4 7 2 2" xfId="3709" xr:uid="{00000000-0005-0000-0000-00007D0E0000}"/>
    <cellStyle name="Финансовый 5 4 7 2 3" xfId="3710" xr:uid="{00000000-0005-0000-0000-00007E0E0000}"/>
    <cellStyle name="Финансовый 5 4 7 3" xfId="3711" xr:uid="{00000000-0005-0000-0000-00007F0E0000}"/>
    <cellStyle name="Финансовый 5 4 7 4" xfId="3712" xr:uid="{00000000-0005-0000-0000-0000800E0000}"/>
    <cellStyle name="Финансовый 5 4 8" xfId="3713" xr:uid="{00000000-0005-0000-0000-0000810E0000}"/>
    <cellStyle name="Финансовый 5 4 8 2" xfId="3714" xr:uid="{00000000-0005-0000-0000-0000820E0000}"/>
    <cellStyle name="Финансовый 5 4 8 2 2" xfId="3715" xr:uid="{00000000-0005-0000-0000-0000830E0000}"/>
    <cellStyle name="Финансовый 5 4 8 2 3" xfId="3716" xr:uid="{00000000-0005-0000-0000-0000840E0000}"/>
    <cellStyle name="Финансовый 5 4 8 3" xfId="3717" xr:uid="{00000000-0005-0000-0000-0000850E0000}"/>
    <cellStyle name="Финансовый 5 4 8 4" xfId="3718" xr:uid="{00000000-0005-0000-0000-0000860E0000}"/>
    <cellStyle name="Финансовый 5 4 9" xfId="3719" xr:uid="{00000000-0005-0000-0000-0000870E0000}"/>
    <cellStyle name="Финансовый 5 4 9 2" xfId="3720" xr:uid="{00000000-0005-0000-0000-0000880E0000}"/>
    <cellStyle name="Финансовый 5 4 9 3" xfId="3721" xr:uid="{00000000-0005-0000-0000-0000890E0000}"/>
    <cellStyle name="Финансовый 5 5" xfId="3722" xr:uid="{00000000-0005-0000-0000-00008A0E0000}"/>
    <cellStyle name="Финансовый 5 5 2" xfId="3723" xr:uid="{00000000-0005-0000-0000-00008B0E0000}"/>
    <cellStyle name="Финансовый 5 5 2 2" xfId="3724" xr:uid="{00000000-0005-0000-0000-00008C0E0000}"/>
    <cellStyle name="Финансовый 5 5 2 2 2" xfId="3725" xr:uid="{00000000-0005-0000-0000-00008D0E0000}"/>
    <cellStyle name="Финансовый 5 5 2 2 2 2" xfId="3726" xr:uid="{00000000-0005-0000-0000-00008E0E0000}"/>
    <cellStyle name="Финансовый 5 5 2 2 2 3" xfId="3727" xr:uid="{00000000-0005-0000-0000-00008F0E0000}"/>
    <cellStyle name="Финансовый 5 5 2 2 3" xfId="3728" xr:uid="{00000000-0005-0000-0000-0000900E0000}"/>
    <cellStyle name="Финансовый 5 5 2 2 4" xfId="3729" xr:uid="{00000000-0005-0000-0000-0000910E0000}"/>
    <cellStyle name="Финансовый 5 5 2 3" xfId="3730" xr:uid="{00000000-0005-0000-0000-0000920E0000}"/>
    <cellStyle name="Финансовый 5 5 2 3 2" xfId="3731" xr:uid="{00000000-0005-0000-0000-0000930E0000}"/>
    <cellStyle name="Финансовый 5 5 2 3 3" xfId="3732" xr:uid="{00000000-0005-0000-0000-0000940E0000}"/>
    <cellStyle name="Финансовый 5 5 2 4" xfId="3733" xr:uid="{00000000-0005-0000-0000-0000950E0000}"/>
    <cellStyle name="Финансовый 5 5 2 5" xfId="3734" xr:uid="{00000000-0005-0000-0000-0000960E0000}"/>
    <cellStyle name="Финансовый 5 5 3" xfId="3735" xr:uid="{00000000-0005-0000-0000-0000970E0000}"/>
    <cellStyle name="Финансовый 5 5 3 2" xfId="3736" xr:uid="{00000000-0005-0000-0000-0000980E0000}"/>
    <cellStyle name="Финансовый 5 5 3 2 2" xfId="3737" xr:uid="{00000000-0005-0000-0000-0000990E0000}"/>
    <cellStyle name="Финансовый 5 5 3 2 2 2" xfId="3738" xr:uid="{00000000-0005-0000-0000-00009A0E0000}"/>
    <cellStyle name="Финансовый 5 5 3 2 2 3" xfId="3739" xr:uid="{00000000-0005-0000-0000-00009B0E0000}"/>
    <cellStyle name="Финансовый 5 5 3 2 3" xfId="3740" xr:uid="{00000000-0005-0000-0000-00009C0E0000}"/>
    <cellStyle name="Финансовый 5 5 3 2 4" xfId="3741" xr:uid="{00000000-0005-0000-0000-00009D0E0000}"/>
    <cellStyle name="Финансовый 5 5 3 3" xfId="3742" xr:uid="{00000000-0005-0000-0000-00009E0E0000}"/>
    <cellStyle name="Финансовый 5 5 3 3 2" xfId="3743" xr:uid="{00000000-0005-0000-0000-00009F0E0000}"/>
    <cellStyle name="Финансовый 5 5 3 3 3" xfId="3744" xr:uid="{00000000-0005-0000-0000-0000A00E0000}"/>
    <cellStyle name="Финансовый 5 5 3 4" xfId="3745" xr:uid="{00000000-0005-0000-0000-0000A10E0000}"/>
    <cellStyle name="Финансовый 5 5 3 5" xfId="3746" xr:uid="{00000000-0005-0000-0000-0000A20E0000}"/>
    <cellStyle name="Финансовый 5 5 4" xfId="3747" xr:uid="{00000000-0005-0000-0000-0000A30E0000}"/>
    <cellStyle name="Финансовый 5 5 4 2" xfId="3748" xr:uid="{00000000-0005-0000-0000-0000A40E0000}"/>
    <cellStyle name="Финансовый 5 5 4 2 2" xfId="3749" xr:uid="{00000000-0005-0000-0000-0000A50E0000}"/>
    <cellStyle name="Финансовый 5 5 4 2 3" xfId="3750" xr:uid="{00000000-0005-0000-0000-0000A60E0000}"/>
    <cellStyle name="Финансовый 5 5 4 3" xfId="3751" xr:uid="{00000000-0005-0000-0000-0000A70E0000}"/>
    <cellStyle name="Финансовый 5 5 4 4" xfId="3752" xr:uid="{00000000-0005-0000-0000-0000A80E0000}"/>
    <cellStyle name="Финансовый 5 5 5" xfId="3753" xr:uid="{00000000-0005-0000-0000-0000A90E0000}"/>
    <cellStyle name="Финансовый 5 5 5 2" xfId="3754" xr:uid="{00000000-0005-0000-0000-0000AA0E0000}"/>
    <cellStyle name="Финансовый 5 5 5 3" xfId="3755" xr:uid="{00000000-0005-0000-0000-0000AB0E0000}"/>
    <cellStyle name="Финансовый 5 5 6" xfId="3756" xr:uid="{00000000-0005-0000-0000-0000AC0E0000}"/>
    <cellStyle name="Финансовый 5 5 7" xfId="3757" xr:uid="{00000000-0005-0000-0000-0000AD0E0000}"/>
    <cellStyle name="Финансовый 5 5 8" xfId="3758" xr:uid="{00000000-0005-0000-0000-0000AE0E0000}"/>
    <cellStyle name="Финансовый 5 6" xfId="3759" xr:uid="{00000000-0005-0000-0000-0000AF0E0000}"/>
    <cellStyle name="Финансовый 5 6 2" xfId="3760" xr:uid="{00000000-0005-0000-0000-0000B00E0000}"/>
    <cellStyle name="Финансовый 5 6 2 2" xfId="3761" xr:uid="{00000000-0005-0000-0000-0000B10E0000}"/>
    <cellStyle name="Финансовый 5 6 2 2 2" xfId="3762" xr:uid="{00000000-0005-0000-0000-0000B20E0000}"/>
    <cellStyle name="Финансовый 5 6 2 2 3" xfId="3763" xr:uid="{00000000-0005-0000-0000-0000B30E0000}"/>
    <cellStyle name="Финансовый 5 6 2 3" xfId="3764" xr:uid="{00000000-0005-0000-0000-0000B40E0000}"/>
    <cellStyle name="Финансовый 5 6 2 4" xfId="3765" xr:uid="{00000000-0005-0000-0000-0000B50E0000}"/>
    <cellStyle name="Финансовый 5 6 3" xfId="3766" xr:uid="{00000000-0005-0000-0000-0000B60E0000}"/>
    <cellStyle name="Финансовый 5 6 3 2" xfId="3767" xr:uid="{00000000-0005-0000-0000-0000B70E0000}"/>
    <cellStyle name="Финансовый 5 6 3 3" xfId="3768" xr:uid="{00000000-0005-0000-0000-0000B80E0000}"/>
    <cellStyle name="Финансовый 5 6 4" xfId="3769" xr:uid="{00000000-0005-0000-0000-0000B90E0000}"/>
    <cellStyle name="Финансовый 5 6 5" xfId="3770" xr:uid="{00000000-0005-0000-0000-0000BA0E0000}"/>
    <cellStyle name="Финансовый 5 7" xfId="3771" xr:uid="{00000000-0005-0000-0000-0000BB0E0000}"/>
    <cellStyle name="Финансовый 5 7 2" xfId="3772" xr:uid="{00000000-0005-0000-0000-0000BC0E0000}"/>
    <cellStyle name="Финансовый 5 7 2 2" xfId="3773" xr:uid="{00000000-0005-0000-0000-0000BD0E0000}"/>
    <cellStyle name="Финансовый 5 7 2 2 2" xfId="3774" xr:uid="{00000000-0005-0000-0000-0000BE0E0000}"/>
    <cellStyle name="Финансовый 5 7 2 2 3" xfId="3775" xr:uid="{00000000-0005-0000-0000-0000BF0E0000}"/>
    <cellStyle name="Финансовый 5 7 2 3" xfId="3776" xr:uid="{00000000-0005-0000-0000-0000C00E0000}"/>
    <cellStyle name="Финансовый 5 7 2 4" xfId="3777" xr:uid="{00000000-0005-0000-0000-0000C10E0000}"/>
    <cellStyle name="Финансовый 5 7 3" xfId="3778" xr:uid="{00000000-0005-0000-0000-0000C20E0000}"/>
    <cellStyle name="Финансовый 5 7 3 2" xfId="3779" xr:uid="{00000000-0005-0000-0000-0000C30E0000}"/>
    <cellStyle name="Финансовый 5 7 3 3" xfId="3780" xr:uid="{00000000-0005-0000-0000-0000C40E0000}"/>
    <cellStyle name="Финансовый 5 7 4" xfId="3781" xr:uid="{00000000-0005-0000-0000-0000C50E0000}"/>
    <cellStyle name="Финансовый 5 7 5" xfId="3782" xr:uid="{00000000-0005-0000-0000-0000C60E0000}"/>
    <cellStyle name="Финансовый 5 8" xfId="3783" xr:uid="{00000000-0005-0000-0000-0000C70E0000}"/>
    <cellStyle name="Финансовый 5 8 2" xfId="3784" xr:uid="{00000000-0005-0000-0000-0000C80E0000}"/>
    <cellStyle name="Финансовый 5 8 2 2" xfId="3785" xr:uid="{00000000-0005-0000-0000-0000C90E0000}"/>
    <cellStyle name="Финансовый 5 8 2 3" xfId="3786" xr:uid="{00000000-0005-0000-0000-0000CA0E0000}"/>
    <cellStyle name="Финансовый 5 8 3" xfId="3787" xr:uid="{00000000-0005-0000-0000-0000CB0E0000}"/>
    <cellStyle name="Финансовый 5 8 4" xfId="3788" xr:uid="{00000000-0005-0000-0000-0000CC0E0000}"/>
    <cellStyle name="Финансовый 5 9" xfId="3789" xr:uid="{00000000-0005-0000-0000-0000CD0E0000}"/>
    <cellStyle name="Финансовый 5 9 2" xfId="3790" xr:uid="{00000000-0005-0000-0000-0000CE0E0000}"/>
    <cellStyle name="Финансовый 5 9 2 2" xfId="3791" xr:uid="{00000000-0005-0000-0000-0000CF0E0000}"/>
    <cellStyle name="Финансовый 5 9 2 3" xfId="3792" xr:uid="{00000000-0005-0000-0000-0000D00E0000}"/>
    <cellStyle name="Финансовый 5 9 3" xfId="3793" xr:uid="{00000000-0005-0000-0000-0000D10E0000}"/>
    <cellStyle name="Финансовый 5 9 4" xfId="3794" xr:uid="{00000000-0005-0000-0000-0000D20E0000}"/>
    <cellStyle name="Финансовый 6" xfId="3795" xr:uid="{00000000-0005-0000-0000-0000D30E0000}"/>
    <cellStyle name="Финансовый 6 10" xfId="3796" xr:uid="{00000000-0005-0000-0000-0000D40E0000}"/>
    <cellStyle name="Финансовый 6 10 2" xfId="3797" xr:uid="{00000000-0005-0000-0000-0000D50E0000}"/>
    <cellStyle name="Финансовый 6 10 3" xfId="3798" xr:uid="{00000000-0005-0000-0000-0000D60E0000}"/>
    <cellStyle name="Финансовый 6 11" xfId="3799" xr:uid="{00000000-0005-0000-0000-0000D70E0000}"/>
    <cellStyle name="Финансовый 6 12" xfId="3800" xr:uid="{00000000-0005-0000-0000-0000D80E0000}"/>
    <cellStyle name="Финансовый 6 13" xfId="3801" xr:uid="{00000000-0005-0000-0000-0000D90E0000}"/>
    <cellStyle name="Финансовый 6 14" xfId="3802" xr:uid="{00000000-0005-0000-0000-0000DA0E0000}"/>
    <cellStyle name="Финансовый 6 2" xfId="3803" xr:uid="{00000000-0005-0000-0000-0000DB0E0000}"/>
    <cellStyle name="Финансовый 6 2 10" xfId="3804" xr:uid="{00000000-0005-0000-0000-0000DC0E0000}"/>
    <cellStyle name="Финансовый 6 2 11" xfId="3805" xr:uid="{00000000-0005-0000-0000-0000DD0E0000}"/>
    <cellStyle name="Финансовый 6 2 12" xfId="3806" xr:uid="{00000000-0005-0000-0000-0000DE0E0000}"/>
    <cellStyle name="Финансовый 6 2 13" xfId="3807" xr:uid="{00000000-0005-0000-0000-0000DF0E0000}"/>
    <cellStyle name="Финансовый 6 2 2" xfId="3808" xr:uid="{00000000-0005-0000-0000-0000E00E0000}"/>
    <cellStyle name="Финансовый 6 2 2 2" xfId="3809" xr:uid="{00000000-0005-0000-0000-0000E10E0000}"/>
    <cellStyle name="Финансовый 6 2 2 2 2" xfId="3810" xr:uid="{00000000-0005-0000-0000-0000E20E0000}"/>
    <cellStyle name="Финансовый 6 2 2 2 2 2" xfId="3811" xr:uid="{00000000-0005-0000-0000-0000E30E0000}"/>
    <cellStyle name="Финансовый 6 2 2 2 2 2 2" xfId="3812" xr:uid="{00000000-0005-0000-0000-0000E40E0000}"/>
    <cellStyle name="Финансовый 6 2 2 2 2 2 3" xfId="3813" xr:uid="{00000000-0005-0000-0000-0000E50E0000}"/>
    <cellStyle name="Финансовый 6 2 2 2 2 3" xfId="3814" xr:uid="{00000000-0005-0000-0000-0000E60E0000}"/>
    <cellStyle name="Финансовый 6 2 2 2 2 4" xfId="3815" xr:uid="{00000000-0005-0000-0000-0000E70E0000}"/>
    <cellStyle name="Финансовый 6 2 2 2 3" xfId="3816" xr:uid="{00000000-0005-0000-0000-0000E80E0000}"/>
    <cellStyle name="Финансовый 6 2 2 2 3 2" xfId="3817" xr:uid="{00000000-0005-0000-0000-0000E90E0000}"/>
    <cellStyle name="Финансовый 6 2 2 2 3 3" xfId="3818" xr:uid="{00000000-0005-0000-0000-0000EA0E0000}"/>
    <cellStyle name="Финансовый 6 2 2 2 4" xfId="3819" xr:uid="{00000000-0005-0000-0000-0000EB0E0000}"/>
    <cellStyle name="Финансовый 6 2 2 2 5" xfId="3820" xr:uid="{00000000-0005-0000-0000-0000EC0E0000}"/>
    <cellStyle name="Финансовый 6 2 2 3" xfId="3821" xr:uid="{00000000-0005-0000-0000-0000ED0E0000}"/>
    <cellStyle name="Финансовый 6 2 2 3 2" xfId="3822" xr:uid="{00000000-0005-0000-0000-0000EE0E0000}"/>
    <cellStyle name="Финансовый 6 2 2 3 2 2" xfId="3823" xr:uid="{00000000-0005-0000-0000-0000EF0E0000}"/>
    <cellStyle name="Финансовый 6 2 2 3 2 2 2" xfId="3824" xr:uid="{00000000-0005-0000-0000-0000F00E0000}"/>
    <cellStyle name="Финансовый 6 2 2 3 2 2 3" xfId="3825" xr:uid="{00000000-0005-0000-0000-0000F10E0000}"/>
    <cellStyle name="Финансовый 6 2 2 3 2 3" xfId="3826" xr:uid="{00000000-0005-0000-0000-0000F20E0000}"/>
    <cellStyle name="Финансовый 6 2 2 3 2 4" xfId="3827" xr:uid="{00000000-0005-0000-0000-0000F30E0000}"/>
    <cellStyle name="Финансовый 6 2 2 3 3" xfId="3828" xr:uid="{00000000-0005-0000-0000-0000F40E0000}"/>
    <cellStyle name="Финансовый 6 2 2 3 3 2" xfId="3829" xr:uid="{00000000-0005-0000-0000-0000F50E0000}"/>
    <cellStyle name="Финансовый 6 2 2 3 3 3" xfId="3830" xr:uid="{00000000-0005-0000-0000-0000F60E0000}"/>
    <cellStyle name="Финансовый 6 2 2 3 4" xfId="3831" xr:uid="{00000000-0005-0000-0000-0000F70E0000}"/>
    <cellStyle name="Финансовый 6 2 2 3 5" xfId="3832" xr:uid="{00000000-0005-0000-0000-0000F80E0000}"/>
    <cellStyle name="Финансовый 6 2 2 4" xfId="3833" xr:uid="{00000000-0005-0000-0000-0000F90E0000}"/>
    <cellStyle name="Финансовый 6 2 2 4 2" xfId="3834" xr:uid="{00000000-0005-0000-0000-0000FA0E0000}"/>
    <cellStyle name="Финансовый 6 2 2 4 2 2" xfId="3835" xr:uid="{00000000-0005-0000-0000-0000FB0E0000}"/>
    <cellStyle name="Финансовый 6 2 2 4 2 3" xfId="3836" xr:uid="{00000000-0005-0000-0000-0000FC0E0000}"/>
    <cellStyle name="Финансовый 6 2 2 4 3" xfId="3837" xr:uid="{00000000-0005-0000-0000-0000FD0E0000}"/>
    <cellStyle name="Финансовый 6 2 2 4 4" xfId="3838" xr:uid="{00000000-0005-0000-0000-0000FE0E0000}"/>
    <cellStyle name="Финансовый 6 2 2 5" xfId="3839" xr:uid="{00000000-0005-0000-0000-0000FF0E0000}"/>
    <cellStyle name="Финансовый 6 2 2 5 2" xfId="3840" xr:uid="{00000000-0005-0000-0000-0000000F0000}"/>
    <cellStyle name="Финансовый 6 2 2 5 3" xfId="3841" xr:uid="{00000000-0005-0000-0000-0000010F0000}"/>
    <cellStyle name="Финансовый 6 2 2 6" xfId="3842" xr:uid="{00000000-0005-0000-0000-0000020F0000}"/>
    <cellStyle name="Финансовый 6 2 2 7" xfId="3843" xr:uid="{00000000-0005-0000-0000-0000030F0000}"/>
    <cellStyle name="Финансовый 6 2 2 8" xfId="3844" xr:uid="{00000000-0005-0000-0000-0000040F0000}"/>
    <cellStyle name="Финансовый 6 2 3" xfId="3845" xr:uid="{00000000-0005-0000-0000-0000050F0000}"/>
    <cellStyle name="Финансовый 6 2 3 2" xfId="3846" xr:uid="{00000000-0005-0000-0000-0000060F0000}"/>
    <cellStyle name="Финансовый 6 2 3 2 2" xfId="3847" xr:uid="{00000000-0005-0000-0000-0000070F0000}"/>
    <cellStyle name="Финансовый 6 2 3 2 2 2" xfId="3848" xr:uid="{00000000-0005-0000-0000-0000080F0000}"/>
    <cellStyle name="Финансовый 6 2 3 2 2 3" xfId="3849" xr:uid="{00000000-0005-0000-0000-0000090F0000}"/>
    <cellStyle name="Финансовый 6 2 3 2 3" xfId="3850" xr:uid="{00000000-0005-0000-0000-00000A0F0000}"/>
    <cellStyle name="Финансовый 6 2 3 2 4" xfId="3851" xr:uid="{00000000-0005-0000-0000-00000B0F0000}"/>
    <cellStyle name="Финансовый 6 2 3 3" xfId="3852" xr:uid="{00000000-0005-0000-0000-00000C0F0000}"/>
    <cellStyle name="Финансовый 6 2 3 3 2" xfId="3853" xr:uid="{00000000-0005-0000-0000-00000D0F0000}"/>
    <cellStyle name="Финансовый 6 2 3 3 3" xfId="3854" xr:uid="{00000000-0005-0000-0000-00000E0F0000}"/>
    <cellStyle name="Финансовый 6 2 3 4" xfId="3855" xr:uid="{00000000-0005-0000-0000-00000F0F0000}"/>
    <cellStyle name="Финансовый 6 2 3 5" xfId="3856" xr:uid="{00000000-0005-0000-0000-0000100F0000}"/>
    <cellStyle name="Финансовый 6 2 4" xfId="3857" xr:uid="{00000000-0005-0000-0000-0000110F0000}"/>
    <cellStyle name="Финансовый 6 2 4 2" xfId="3858" xr:uid="{00000000-0005-0000-0000-0000120F0000}"/>
    <cellStyle name="Финансовый 6 2 4 2 2" xfId="3859" xr:uid="{00000000-0005-0000-0000-0000130F0000}"/>
    <cellStyle name="Финансовый 6 2 4 2 2 2" xfId="3860" xr:uid="{00000000-0005-0000-0000-0000140F0000}"/>
    <cellStyle name="Финансовый 6 2 4 2 2 3" xfId="3861" xr:uid="{00000000-0005-0000-0000-0000150F0000}"/>
    <cellStyle name="Финансовый 6 2 4 2 3" xfId="3862" xr:uid="{00000000-0005-0000-0000-0000160F0000}"/>
    <cellStyle name="Финансовый 6 2 4 2 4" xfId="3863" xr:uid="{00000000-0005-0000-0000-0000170F0000}"/>
    <cellStyle name="Финансовый 6 2 4 3" xfId="3864" xr:uid="{00000000-0005-0000-0000-0000180F0000}"/>
    <cellStyle name="Финансовый 6 2 4 3 2" xfId="3865" xr:uid="{00000000-0005-0000-0000-0000190F0000}"/>
    <cellStyle name="Финансовый 6 2 4 3 3" xfId="3866" xr:uid="{00000000-0005-0000-0000-00001A0F0000}"/>
    <cellStyle name="Финансовый 6 2 4 4" xfId="3867" xr:uid="{00000000-0005-0000-0000-00001B0F0000}"/>
    <cellStyle name="Финансовый 6 2 4 5" xfId="3868" xr:uid="{00000000-0005-0000-0000-00001C0F0000}"/>
    <cellStyle name="Финансовый 6 2 5" xfId="3869" xr:uid="{00000000-0005-0000-0000-00001D0F0000}"/>
    <cellStyle name="Финансовый 6 2 5 2" xfId="3870" xr:uid="{00000000-0005-0000-0000-00001E0F0000}"/>
    <cellStyle name="Финансовый 6 2 5 2 2" xfId="3871" xr:uid="{00000000-0005-0000-0000-00001F0F0000}"/>
    <cellStyle name="Финансовый 6 2 5 2 3" xfId="3872" xr:uid="{00000000-0005-0000-0000-0000200F0000}"/>
    <cellStyle name="Финансовый 6 2 5 3" xfId="3873" xr:uid="{00000000-0005-0000-0000-0000210F0000}"/>
    <cellStyle name="Финансовый 6 2 5 4" xfId="3874" xr:uid="{00000000-0005-0000-0000-0000220F0000}"/>
    <cellStyle name="Финансовый 6 2 6" xfId="3875" xr:uid="{00000000-0005-0000-0000-0000230F0000}"/>
    <cellStyle name="Финансовый 6 2 6 2" xfId="3876" xr:uid="{00000000-0005-0000-0000-0000240F0000}"/>
    <cellStyle name="Финансовый 6 2 6 2 2" xfId="3877" xr:uid="{00000000-0005-0000-0000-0000250F0000}"/>
    <cellStyle name="Финансовый 6 2 6 2 3" xfId="3878" xr:uid="{00000000-0005-0000-0000-0000260F0000}"/>
    <cellStyle name="Финансовый 6 2 6 3" xfId="3879" xr:uid="{00000000-0005-0000-0000-0000270F0000}"/>
    <cellStyle name="Финансовый 6 2 6 4" xfId="3880" xr:uid="{00000000-0005-0000-0000-0000280F0000}"/>
    <cellStyle name="Финансовый 6 2 7" xfId="3881" xr:uid="{00000000-0005-0000-0000-0000290F0000}"/>
    <cellStyle name="Финансовый 6 2 7 2" xfId="3882" xr:uid="{00000000-0005-0000-0000-00002A0F0000}"/>
    <cellStyle name="Финансовый 6 2 7 2 2" xfId="3883" xr:uid="{00000000-0005-0000-0000-00002B0F0000}"/>
    <cellStyle name="Финансовый 6 2 7 2 3" xfId="3884" xr:uid="{00000000-0005-0000-0000-00002C0F0000}"/>
    <cellStyle name="Финансовый 6 2 7 3" xfId="3885" xr:uid="{00000000-0005-0000-0000-00002D0F0000}"/>
    <cellStyle name="Финансовый 6 2 7 4" xfId="3886" xr:uid="{00000000-0005-0000-0000-00002E0F0000}"/>
    <cellStyle name="Финансовый 6 2 8" xfId="3887" xr:uid="{00000000-0005-0000-0000-00002F0F0000}"/>
    <cellStyle name="Финансовый 6 2 8 2" xfId="3888" xr:uid="{00000000-0005-0000-0000-0000300F0000}"/>
    <cellStyle name="Финансовый 6 2 8 2 2" xfId="3889" xr:uid="{00000000-0005-0000-0000-0000310F0000}"/>
    <cellStyle name="Финансовый 6 2 8 2 3" xfId="3890" xr:uid="{00000000-0005-0000-0000-0000320F0000}"/>
    <cellStyle name="Финансовый 6 2 8 3" xfId="3891" xr:uid="{00000000-0005-0000-0000-0000330F0000}"/>
    <cellStyle name="Финансовый 6 2 8 4" xfId="3892" xr:uid="{00000000-0005-0000-0000-0000340F0000}"/>
    <cellStyle name="Финансовый 6 2 9" xfId="3893" xr:uid="{00000000-0005-0000-0000-0000350F0000}"/>
    <cellStyle name="Финансовый 6 2 9 2" xfId="3894" xr:uid="{00000000-0005-0000-0000-0000360F0000}"/>
    <cellStyle name="Финансовый 6 2 9 3" xfId="3895" xr:uid="{00000000-0005-0000-0000-0000370F0000}"/>
    <cellStyle name="Финансовый 6 3" xfId="3896" xr:uid="{00000000-0005-0000-0000-0000380F0000}"/>
    <cellStyle name="Финансовый 6 3 2" xfId="3897" xr:uid="{00000000-0005-0000-0000-0000390F0000}"/>
    <cellStyle name="Финансовый 6 3 2 2" xfId="3898" xr:uid="{00000000-0005-0000-0000-00003A0F0000}"/>
    <cellStyle name="Финансовый 6 3 2 2 2" xfId="3899" xr:uid="{00000000-0005-0000-0000-00003B0F0000}"/>
    <cellStyle name="Финансовый 6 3 2 2 2 2" xfId="3900" xr:uid="{00000000-0005-0000-0000-00003C0F0000}"/>
    <cellStyle name="Финансовый 6 3 2 2 2 3" xfId="3901" xr:uid="{00000000-0005-0000-0000-00003D0F0000}"/>
    <cellStyle name="Финансовый 6 3 2 2 3" xfId="3902" xr:uid="{00000000-0005-0000-0000-00003E0F0000}"/>
    <cellStyle name="Финансовый 6 3 2 2 4" xfId="3903" xr:uid="{00000000-0005-0000-0000-00003F0F0000}"/>
    <cellStyle name="Финансовый 6 3 2 3" xfId="3904" xr:uid="{00000000-0005-0000-0000-0000400F0000}"/>
    <cellStyle name="Финансовый 6 3 2 3 2" xfId="3905" xr:uid="{00000000-0005-0000-0000-0000410F0000}"/>
    <cellStyle name="Финансовый 6 3 2 3 3" xfId="3906" xr:uid="{00000000-0005-0000-0000-0000420F0000}"/>
    <cellStyle name="Финансовый 6 3 2 4" xfId="3907" xr:uid="{00000000-0005-0000-0000-0000430F0000}"/>
    <cellStyle name="Финансовый 6 3 2 5" xfId="3908" xr:uid="{00000000-0005-0000-0000-0000440F0000}"/>
    <cellStyle name="Финансовый 6 3 3" xfId="3909" xr:uid="{00000000-0005-0000-0000-0000450F0000}"/>
    <cellStyle name="Финансовый 6 3 3 2" xfId="3910" xr:uid="{00000000-0005-0000-0000-0000460F0000}"/>
    <cellStyle name="Финансовый 6 3 3 2 2" xfId="3911" xr:uid="{00000000-0005-0000-0000-0000470F0000}"/>
    <cellStyle name="Финансовый 6 3 3 2 2 2" xfId="3912" xr:uid="{00000000-0005-0000-0000-0000480F0000}"/>
    <cellStyle name="Финансовый 6 3 3 2 2 3" xfId="3913" xr:uid="{00000000-0005-0000-0000-0000490F0000}"/>
    <cellStyle name="Финансовый 6 3 3 2 3" xfId="3914" xr:uid="{00000000-0005-0000-0000-00004A0F0000}"/>
    <cellStyle name="Финансовый 6 3 3 2 4" xfId="3915" xr:uid="{00000000-0005-0000-0000-00004B0F0000}"/>
    <cellStyle name="Финансовый 6 3 3 3" xfId="3916" xr:uid="{00000000-0005-0000-0000-00004C0F0000}"/>
    <cellStyle name="Финансовый 6 3 3 3 2" xfId="3917" xr:uid="{00000000-0005-0000-0000-00004D0F0000}"/>
    <cellStyle name="Финансовый 6 3 3 3 3" xfId="3918" xr:uid="{00000000-0005-0000-0000-00004E0F0000}"/>
    <cellStyle name="Финансовый 6 3 3 4" xfId="3919" xr:uid="{00000000-0005-0000-0000-00004F0F0000}"/>
    <cellStyle name="Финансовый 6 3 3 5" xfId="3920" xr:uid="{00000000-0005-0000-0000-0000500F0000}"/>
    <cellStyle name="Финансовый 6 3 4" xfId="3921" xr:uid="{00000000-0005-0000-0000-0000510F0000}"/>
    <cellStyle name="Финансовый 6 3 4 2" xfId="3922" xr:uid="{00000000-0005-0000-0000-0000520F0000}"/>
    <cellStyle name="Финансовый 6 3 4 2 2" xfId="3923" xr:uid="{00000000-0005-0000-0000-0000530F0000}"/>
    <cellStyle name="Финансовый 6 3 4 2 3" xfId="3924" xr:uid="{00000000-0005-0000-0000-0000540F0000}"/>
    <cellStyle name="Финансовый 6 3 4 3" xfId="3925" xr:uid="{00000000-0005-0000-0000-0000550F0000}"/>
    <cellStyle name="Финансовый 6 3 4 4" xfId="3926" xr:uid="{00000000-0005-0000-0000-0000560F0000}"/>
    <cellStyle name="Финансовый 6 3 5" xfId="3927" xr:uid="{00000000-0005-0000-0000-0000570F0000}"/>
    <cellStyle name="Финансовый 6 3 5 2" xfId="3928" xr:uid="{00000000-0005-0000-0000-0000580F0000}"/>
    <cellStyle name="Финансовый 6 3 5 3" xfId="3929" xr:uid="{00000000-0005-0000-0000-0000590F0000}"/>
    <cellStyle name="Финансовый 6 3 6" xfId="3930" xr:uid="{00000000-0005-0000-0000-00005A0F0000}"/>
    <cellStyle name="Финансовый 6 3 7" xfId="3931" xr:uid="{00000000-0005-0000-0000-00005B0F0000}"/>
    <cellStyle name="Финансовый 6 3 8" xfId="3932" xr:uid="{00000000-0005-0000-0000-00005C0F0000}"/>
    <cellStyle name="Финансовый 6 4" xfId="3933" xr:uid="{00000000-0005-0000-0000-00005D0F0000}"/>
    <cellStyle name="Финансовый 6 4 2" xfId="3934" xr:uid="{00000000-0005-0000-0000-00005E0F0000}"/>
    <cellStyle name="Финансовый 6 4 2 2" xfId="3935" xr:uid="{00000000-0005-0000-0000-00005F0F0000}"/>
    <cellStyle name="Финансовый 6 4 2 2 2" xfId="3936" xr:uid="{00000000-0005-0000-0000-0000600F0000}"/>
    <cellStyle name="Финансовый 6 4 2 2 3" xfId="3937" xr:uid="{00000000-0005-0000-0000-0000610F0000}"/>
    <cellStyle name="Финансовый 6 4 2 3" xfId="3938" xr:uid="{00000000-0005-0000-0000-0000620F0000}"/>
    <cellStyle name="Финансовый 6 4 2 4" xfId="3939" xr:uid="{00000000-0005-0000-0000-0000630F0000}"/>
    <cellStyle name="Финансовый 6 4 3" xfId="3940" xr:uid="{00000000-0005-0000-0000-0000640F0000}"/>
    <cellStyle name="Финансовый 6 4 3 2" xfId="3941" xr:uid="{00000000-0005-0000-0000-0000650F0000}"/>
    <cellStyle name="Финансовый 6 4 3 3" xfId="3942" xr:uid="{00000000-0005-0000-0000-0000660F0000}"/>
    <cellStyle name="Финансовый 6 4 4" xfId="3943" xr:uid="{00000000-0005-0000-0000-0000670F0000}"/>
    <cellStyle name="Финансовый 6 4 5" xfId="3944" xr:uid="{00000000-0005-0000-0000-0000680F0000}"/>
    <cellStyle name="Финансовый 6 5" xfId="3945" xr:uid="{00000000-0005-0000-0000-0000690F0000}"/>
    <cellStyle name="Финансовый 6 5 2" xfId="3946" xr:uid="{00000000-0005-0000-0000-00006A0F0000}"/>
    <cellStyle name="Финансовый 6 5 2 2" xfId="3947" xr:uid="{00000000-0005-0000-0000-00006B0F0000}"/>
    <cellStyle name="Финансовый 6 5 2 2 2" xfId="3948" xr:uid="{00000000-0005-0000-0000-00006C0F0000}"/>
    <cellStyle name="Финансовый 6 5 2 2 3" xfId="3949" xr:uid="{00000000-0005-0000-0000-00006D0F0000}"/>
    <cellStyle name="Финансовый 6 5 2 3" xfId="3950" xr:uid="{00000000-0005-0000-0000-00006E0F0000}"/>
    <cellStyle name="Финансовый 6 5 2 4" xfId="3951" xr:uid="{00000000-0005-0000-0000-00006F0F0000}"/>
    <cellStyle name="Финансовый 6 5 3" xfId="3952" xr:uid="{00000000-0005-0000-0000-0000700F0000}"/>
    <cellStyle name="Финансовый 6 5 3 2" xfId="3953" xr:uid="{00000000-0005-0000-0000-0000710F0000}"/>
    <cellStyle name="Финансовый 6 5 3 3" xfId="3954" xr:uid="{00000000-0005-0000-0000-0000720F0000}"/>
    <cellStyle name="Финансовый 6 5 4" xfId="3955" xr:uid="{00000000-0005-0000-0000-0000730F0000}"/>
    <cellStyle name="Финансовый 6 5 5" xfId="3956" xr:uid="{00000000-0005-0000-0000-0000740F0000}"/>
    <cellStyle name="Финансовый 6 6" xfId="3957" xr:uid="{00000000-0005-0000-0000-0000750F0000}"/>
    <cellStyle name="Финансовый 6 6 2" xfId="3958" xr:uid="{00000000-0005-0000-0000-0000760F0000}"/>
    <cellStyle name="Финансовый 6 6 2 2" xfId="3959" xr:uid="{00000000-0005-0000-0000-0000770F0000}"/>
    <cellStyle name="Финансовый 6 6 2 3" xfId="3960" xr:uid="{00000000-0005-0000-0000-0000780F0000}"/>
    <cellStyle name="Финансовый 6 6 3" xfId="3961" xr:uid="{00000000-0005-0000-0000-0000790F0000}"/>
    <cellStyle name="Финансовый 6 6 4" xfId="3962" xr:uid="{00000000-0005-0000-0000-00007A0F0000}"/>
    <cellStyle name="Финансовый 6 7" xfId="3963" xr:uid="{00000000-0005-0000-0000-00007B0F0000}"/>
    <cellStyle name="Финансовый 6 7 2" xfId="3964" xr:uid="{00000000-0005-0000-0000-00007C0F0000}"/>
    <cellStyle name="Финансовый 6 7 2 2" xfId="3965" xr:uid="{00000000-0005-0000-0000-00007D0F0000}"/>
    <cellStyle name="Финансовый 6 7 2 3" xfId="3966" xr:uid="{00000000-0005-0000-0000-00007E0F0000}"/>
    <cellStyle name="Финансовый 6 7 3" xfId="3967" xr:uid="{00000000-0005-0000-0000-00007F0F0000}"/>
    <cellStyle name="Финансовый 6 7 4" xfId="3968" xr:uid="{00000000-0005-0000-0000-0000800F0000}"/>
    <cellStyle name="Финансовый 6 8" xfId="3969" xr:uid="{00000000-0005-0000-0000-0000810F0000}"/>
    <cellStyle name="Финансовый 6 8 2" xfId="3970" xr:uid="{00000000-0005-0000-0000-0000820F0000}"/>
    <cellStyle name="Финансовый 6 8 2 2" xfId="3971" xr:uid="{00000000-0005-0000-0000-0000830F0000}"/>
    <cellStyle name="Финансовый 6 8 2 3" xfId="3972" xr:uid="{00000000-0005-0000-0000-0000840F0000}"/>
    <cellStyle name="Финансовый 6 8 3" xfId="3973" xr:uid="{00000000-0005-0000-0000-0000850F0000}"/>
    <cellStyle name="Финансовый 6 8 4" xfId="3974" xr:uid="{00000000-0005-0000-0000-0000860F0000}"/>
    <cellStyle name="Финансовый 6 9" xfId="3975" xr:uid="{00000000-0005-0000-0000-0000870F0000}"/>
    <cellStyle name="Финансовый 6 9 2" xfId="3976" xr:uid="{00000000-0005-0000-0000-0000880F0000}"/>
    <cellStyle name="Финансовый 6 9 2 2" xfId="3977" xr:uid="{00000000-0005-0000-0000-0000890F0000}"/>
    <cellStyle name="Финансовый 6 9 2 3" xfId="3978" xr:uid="{00000000-0005-0000-0000-00008A0F0000}"/>
    <cellStyle name="Финансовый 6 9 3" xfId="3979" xr:uid="{00000000-0005-0000-0000-00008B0F0000}"/>
    <cellStyle name="Финансовый 6 9 4" xfId="3980" xr:uid="{00000000-0005-0000-0000-00008C0F0000}"/>
    <cellStyle name="Финансовый 7" xfId="3981" xr:uid="{00000000-0005-0000-0000-00008D0F0000}"/>
    <cellStyle name="Финансовый 7 10" xfId="3982" xr:uid="{00000000-0005-0000-0000-00008E0F0000}"/>
    <cellStyle name="Финансовый 7 11" xfId="3983" xr:uid="{00000000-0005-0000-0000-00008F0F0000}"/>
    <cellStyle name="Финансовый 7 12" xfId="3984" xr:uid="{00000000-0005-0000-0000-0000900F0000}"/>
    <cellStyle name="Финансовый 7 13" xfId="3985" xr:uid="{00000000-0005-0000-0000-0000910F0000}"/>
    <cellStyle name="Финансовый 7 2" xfId="3986" xr:uid="{00000000-0005-0000-0000-0000920F0000}"/>
    <cellStyle name="Финансовый 7 2 2" xfId="3987" xr:uid="{00000000-0005-0000-0000-0000930F0000}"/>
    <cellStyle name="Финансовый 7 2 2 2" xfId="3988" xr:uid="{00000000-0005-0000-0000-0000940F0000}"/>
    <cellStyle name="Финансовый 7 2 2 2 2" xfId="3989" xr:uid="{00000000-0005-0000-0000-0000950F0000}"/>
    <cellStyle name="Финансовый 7 2 2 2 2 2" xfId="3990" xr:uid="{00000000-0005-0000-0000-0000960F0000}"/>
    <cellStyle name="Финансовый 7 2 2 2 2 3" xfId="3991" xr:uid="{00000000-0005-0000-0000-0000970F0000}"/>
    <cellStyle name="Финансовый 7 2 2 2 3" xfId="3992" xr:uid="{00000000-0005-0000-0000-0000980F0000}"/>
    <cellStyle name="Финансовый 7 2 2 2 4" xfId="3993" xr:uid="{00000000-0005-0000-0000-0000990F0000}"/>
    <cellStyle name="Финансовый 7 2 2 3" xfId="3994" xr:uid="{00000000-0005-0000-0000-00009A0F0000}"/>
    <cellStyle name="Финансовый 7 2 2 3 2" xfId="3995" xr:uid="{00000000-0005-0000-0000-00009B0F0000}"/>
    <cellStyle name="Финансовый 7 2 2 3 3" xfId="3996" xr:uid="{00000000-0005-0000-0000-00009C0F0000}"/>
    <cellStyle name="Финансовый 7 2 2 4" xfId="3997" xr:uid="{00000000-0005-0000-0000-00009D0F0000}"/>
    <cellStyle name="Финансовый 7 2 2 5" xfId="3998" xr:uid="{00000000-0005-0000-0000-00009E0F0000}"/>
    <cellStyle name="Финансовый 7 2 3" xfId="3999" xr:uid="{00000000-0005-0000-0000-00009F0F0000}"/>
    <cellStyle name="Финансовый 7 2 3 2" xfId="4000" xr:uid="{00000000-0005-0000-0000-0000A00F0000}"/>
    <cellStyle name="Финансовый 7 2 3 2 2" xfId="4001" xr:uid="{00000000-0005-0000-0000-0000A10F0000}"/>
    <cellStyle name="Финансовый 7 2 3 2 2 2" xfId="4002" xr:uid="{00000000-0005-0000-0000-0000A20F0000}"/>
    <cellStyle name="Финансовый 7 2 3 2 2 3" xfId="4003" xr:uid="{00000000-0005-0000-0000-0000A30F0000}"/>
    <cellStyle name="Финансовый 7 2 3 2 3" xfId="4004" xr:uid="{00000000-0005-0000-0000-0000A40F0000}"/>
    <cellStyle name="Финансовый 7 2 3 2 4" xfId="4005" xr:uid="{00000000-0005-0000-0000-0000A50F0000}"/>
    <cellStyle name="Финансовый 7 2 3 3" xfId="4006" xr:uid="{00000000-0005-0000-0000-0000A60F0000}"/>
    <cellStyle name="Финансовый 7 2 3 3 2" xfId="4007" xr:uid="{00000000-0005-0000-0000-0000A70F0000}"/>
    <cellStyle name="Финансовый 7 2 3 3 3" xfId="4008" xr:uid="{00000000-0005-0000-0000-0000A80F0000}"/>
    <cellStyle name="Финансовый 7 2 3 4" xfId="4009" xr:uid="{00000000-0005-0000-0000-0000A90F0000}"/>
    <cellStyle name="Финансовый 7 2 3 5" xfId="4010" xr:uid="{00000000-0005-0000-0000-0000AA0F0000}"/>
    <cellStyle name="Финансовый 7 2 4" xfId="4011" xr:uid="{00000000-0005-0000-0000-0000AB0F0000}"/>
    <cellStyle name="Финансовый 7 2 4 2" xfId="4012" xr:uid="{00000000-0005-0000-0000-0000AC0F0000}"/>
    <cellStyle name="Финансовый 7 2 4 2 2" xfId="4013" xr:uid="{00000000-0005-0000-0000-0000AD0F0000}"/>
    <cellStyle name="Финансовый 7 2 4 2 3" xfId="4014" xr:uid="{00000000-0005-0000-0000-0000AE0F0000}"/>
    <cellStyle name="Финансовый 7 2 4 3" xfId="4015" xr:uid="{00000000-0005-0000-0000-0000AF0F0000}"/>
    <cellStyle name="Финансовый 7 2 4 4" xfId="4016" xr:uid="{00000000-0005-0000-0000-0000B00F0000}"/>
    <cellStyle name="Финансовый 7 2 5" xfId="4017" xr:uid="{00000000-0005-0000-0000-0000B10F0000}"/>
    <cellStyle name="Финансовый 7 2 5 2" xfId="4018" xr:uid="{00000000-0005-0000-0000-0000B20F0000}"/>
    <cellStyle name="Финансовый 7 2 5 3" xfId="4019" xr:uid="{00000000-0005-0000-0000-0000B30F0000}"/>
    <cellStyle name="Финансовый 7 2 6" xfId="4020" xr:uid="{00000000-0005-0000-0000-0000B40F0000}"/>
    <cellStyle name="Финансовый 7 2 7" xfId="4021" xr:uid="{00000000-0005-0000-0000-0000B50F0000}"/>
    <cellStyle name="Финансовый 7 2 8" xfId="4022" xr:uid="{00000000-0005-0000-0000-0000B60F0000}"/>
    <cellStyle name="Финансовый 7 3" xfId="4023" xr:uid="{00000000-0005-0000-0000-0000B70F0000}"/>
    <cellStyle name="Финансовый 7 3 2" xfId="4024" xr:uid="{00000000-0005-0000-0000-0000B80F0000}"/>
    <cellStyle name="Финансовый 7 3 2 2" xfId="4025" xr:uid="{00000000-0005-0000-0000-0000B90F0000}"/>
    <cellStyle name="Финансовый 7 3 2 2 2" xfId="4026" xr:uid="{00000000-0005-0000-0000-0000BA0F0000}"/>
    <cellStyle name="Финансовый 7 3 2 2 3" xfId="4027" xr:uid="{00000000-0005-0000-0000-0000BB0F0000}"/>
    <cellStyle name="Финансовый 7 3 2 3" xfId="4028" xr:uid="{00000000-0005-0000-0000-0000BC0F0000}"/>
    <cellStyle name="Финансовый 7 3 2 4" xfId="4029" xr:uid="{00000000-0005-0000-0000-0000BD0F0000}"/>
    <cellStyle name="Финансовый 7 3 3" xfId="4030" xr:uid="{00000000-0005-0000-0000-0000BE0F0000}"/>
    <cellStyle name="Финансовый 7 3 3 2" xfId="4031" xr:uid="{00000000-0005-0000-0000-0000BF0F0000}"/>
    <cellStyle name="Финансовый 7 3 3 3" xfId="4032" xr:uid="{00000000-0005-0000-0000-0000C00F0000}"/>
    <cellStyle name="Финансовый 7 3 4" xfId="4033" xr:uid="{00000000-0005-0000-0000-0000C10F0000}"/>
    <cellStyle name="Финансовый 7 3 5" xfId="4034" xr:uid="{00000000-0005-0000-0000-0000C20F0000}"/>
    <cellStyle name="Финансовый 7 4" xfId="4035" xr:uid="{00000000-0005-0000-0000-0000C30F0000}"/>
    <cellStyle name="Финансовый 7 4 2" xfId="4036" xr:uid="{00000000-0005-0000-0000-0000C40F0000}"/>
    <cellStyle name="Финансовый 7 4 2 2" xfId="4037" xr:uid="{00000000-0005-0000-0000-0000C50F0000}"/>
    <cellStyle name="Финансовый 7 4 2 2 2" xfId="4038" xr:uid="{00000000-0005-0000-0000-0000C60F0000}"/>
    <cellStyle name="Финансовый 7 4 2 2 3" xfId="4039" xr:uid="{00000000-0005-0000-0000-0000C70F0000}"/>
    <cellStyle name="Финансовый 7 4 2 3" xfId="4040" xr:uid="{00000000-0005-0000-0000-0000C80F0000}"/>
    <cellStyle name="Финансовый 7 4 2 4" xfId="4041" xr:uid="{00000000-0005-0000-0000-0000C90F0000}"/>
    <cellStyle name="Финансовый 7 4 3" xfId="4042" xr:uid="{00000000-0005-0000-0000-0000CA0F0000}"/>
    <cellStyle name="Финансовый 7 4 3 2" xfId="4043" xr:uid="{00000000-0005-0000-0000-0000CB0F0000}"/>
    <cellStyle name="Финансовый 7 4 3 3" xfId="4044" xr:uid="{00000000-0005-0000-0000-0000CC0F0000}"/>
    <cellStyle name="Финансовый 7 4 4" xfId="4045" xr:uid="{00000000-0005-0000-0000-0000CD0F0000}"/>
    <cellStyle name="Финансовый 7 4 5" xfId="4046" xr:uid="{00000000-0005-0000-0000-0000CE0F0000}"/>
    <cellStyle name="Финансовый 7 5" xfId="4047" xr:uid="{00000000-0005-0000-0000-0000CF0F0000}"/>
    <cellStyle name="Финансовый 7 5 2" xfId="4048" xr:uid="{00000000-0005-0000-0000-0000D00F0000}"/>
    <cellStyle name="Финансовый 7 5 2 2" xfId="4049" xr:uid="{00000000-0005-0000-0000-0000D10F0000}"/>
    <cellStyle name="Финансовый 7 5 2 3" xfId="4050" xr:uid="{00000000-0005-0000-0000-0000D20F0000}"/>
    <cellStyle name="Финансовый 7 5 3" xfId="4051" xr:uid="{00000000-0005-0000-0000-0000D30F0000}"/>
    <cellStyle name="Финансовый 7 5 4" xfId="4052" xr:uid="{00000000-0005-0000-0000-0000D40F0000}"/>
    <cellStyle name="Финансовый 7 6" xfId="4053" xr:uid="{00000000-0005-0000-0000-0000D50F0000}"/>
    <cellStyle name="Финансовый 7 6 2" xfId="4054" xr:uid="{00000000-0005-0000-0000-0000D60F0000}"/>
    <cellStyle name="Финансовый 7 6 2 2" xfId="4055" xr:uid="{00000000-0005-0000-0000-0000D70F0000}"/>
    <cellStyle name="Финансовый 7 6 2 3" xfId="4056" xr:uid="{00000000-0005-0000-0000-0000D80F0000}"/>
    <cellStyle name="Финансовый 7 6 3" xfId="4057" xr:uid="{00000000-0005-0000-0000-0000D90F0000}"/>
    <cellStyle name="Финансовый 7 6 4" xfId="4058" xr:uid="{00000000-0005-0000-0000-0000DA0F0000}"/>
    <cellStyle name="Финансовый 7 7" xfId="4059" xr:uid="{00000000-0005-0000-0000-0000DB0F0000}"/>
    <cellStyle name="Финансовый 7 7 2" xfId="4060" xr:uid="{00000000-0005-0000-0000-0000DC0F0000}"/>
    <cellStyle name="Финансовый 7 7 2 2" xfId="4061" xr:uid="{00000000-0005-0000-0000-0000DD0F0000}"/>
    <cellStyle name="Финансовый 7 7 2 3" xfId="4062" xr:uid="{00000000-0005-0000-0000-0000DE0F0000}"/>
    <cellStyle name="Финансовый 7 7 3" xfId="4063" xr:uid="{00000000-0005-0000-0000-0000DF0F0000}"/>
    <cellStyle name="Финансовый 7 7 4" xfId="4064" xr:uid="{00000000-0005-0000-0000-0000E00F0000}"/>
    <cellStyle name="Финансовый 7 8" xfId="4065" xr:uid="{00000000-0005-0000-0000-0000E10F0000}"/>
    <cellStyle name="Финансовый 7 8 2" xfId="4066" xr:uid="{00000000-0005-0000-0000-0000E20F0000}"/>
    <cellStyle name="Финансовый 7 8 2 2" xfId="4067" xr:uid="{00000000-0005-0000-0000-0000E30F0000}"/>
    <cellStyle name="Финансовый 7 8 2 3" xfId="4068" xr:uid="{00000000-0005-0000-0000-0000E40F0000}"/>
    <cellStyle name="Финансовый 7 8 3" xfId="4069" xr:uid="{00000000-0005-0000-0000-0000E50F0000}"/>
    <cellStyle name="Финансовый 7 8 4" xfId="4070" xr:uid="{00000000-0005-0000-0000-0000E60F0000}"/>
    <cellStyle name="Финансовый 7 9" xfId="4071" xr:uid="{00000000-0005-0000-0000-0000E70F0000}"/>
    <cellStyle name="Финансовый 7 9 2" xfId="4072" xr:uid="{00000000-0005-0000-0000-0000E80F0000}"/>
    <cellStyle name="Финансовый 7 9 3" xfId="4073" xr:uid="{00000000-0005-0000-0000-0000E90F0000}"/>
    <cellStyle name="Финансовый 8" xfId="4074" xr:uid="{00000000-0005-0000-0000-0000EA0F0000}"/>
    <cellStyle name="Финансовый 8 10" xfId="4075" xr:uid="{00000000-0005-0000-0000-0000EB0F0000}"/>
    <cellStyle name="Финансовый 8 11" xfId="4076" xr:uid="{00000000-0005-0000-0000-0000EC0F0000}"/>
    <cellStyle name="Финансовый 8 12" xfId="4077" xr:uid="{00000000-0005-0000-0000-0000ED0F0000}"/>
    <cellStyle name="Финансовый 8 13" xfId="4078" xr:uid="{00000000-0005-0000-0000-0000EE0F0000}"/>
    <cellStyle name="Финансовый 8 2" xfId="4079" xr:uid="{00000000-0005-0000-0000-0000EF0F0000}"/>
    <cellStyle name="Финансовый 8 2 2" xfId="4080" xr:uid="{00000000-0005-0000-0000-0000F00F0000}"/>
    <cellStyle name="Финансовый 8 2 2 2" xfId="4081" xr:uid="{00000000-0005-0000-0000-0000F10F0000}"/>
    <cellStyle name="Финансовый 8 2 2 2 2" xfId="4082" xr:uid="{00000000-0005-0000-0000-0000F20F0000}"/>
    <cellStyle name="Финансовый 8 2 2 2 2 2" xfId="4083" xr:uid="{00000000-0005-0000-0000-0000F30F0000}"/>
    <cellStyle name="Финансовый 8 2 2 2 2 3" xfId="4084" xr:uid="{00000000-0005-0000-0000-0000F40F0000}"/>
    <cellStyle name="Финансовый 8 2 2 2 3" xfId="4085" xr:uid="{00000000-0005-0000-0000-0000F50F0000}"/>
    <cellStyle name="Финансовый 8 2 2 2 4" xfId="4086" xr:uid="{00000000-0005-0000-0000-0000F60F0000}"/>
    <cellStyle name="Финансовый 8 2 2 3" xfId="4087" xr:uid="{00000000-0005-0000-0000-0000F70F0000}"/>
    <cellStyle name="Финансовый 8 2 2 3 2" xfId="4088" xr:uid="{00000000-0005-0000-0000-0000F80F0000}"/>
    <cellStyle name="Финансовый 8 2 2 3 3" xfId="4089" xr:uid="{00000000-0005-0000-0000-0000F90F0000}"/>
    <cellStyle name="Финансовый 8 2 2 4" xfId="4090" xr:uid="{00000000-0005-0000-0000-0000FA0F0000}"/>
    <cellStyle name="Финансовый 8 2 2 5" xfId="4091" xr:uid="{00000000-0005-0000-0000-0000FB0F0000}"/>
    <cellStyle name="Финансовый 8 2 3" xfId="4092" xr:uid="{00000000-0005-0000-0000-0000FC0F0000}"/>
    <cellStyle name="Финансовый 8 2 3 2" xfId="4093" xr:uid="{00000000-0005-0000-0000-0000FD0F0000}"/>
    <cellStyle name="Финансовый 8 2 3 2 2" xfId="4094" xr:uid="{00000000-0005-0000-0000-0000FE0F0000}"/>
    <cellStyle name="Финансовый 8 2 3 2 2 2" xfId="4095" xr:uid="{00000000-0005-0000-0000-0000FF0F0000}"/>
    <cellStyle name="Финансовый 8 2 3 2 2 3" xfId="4096" xr:uid="{00000000-0005-0000-0000-000000100000}"/>
    <cellStyle name="Финансовый 8 2 3 2 3" xfId="4097" xr:uid="{00000000-0005-0000-0000-000001100000}"/>
    <cellStyle name="Финансовый 8 2 3 2 4" xfId="4098" xr:uid="{00000000-0005-0000-0000-000002100000}"/>
    <cellStyle name="Финансовый 8 2 3 3" xfId="4099" xr:uid="{00000000-0005-0000-0000-000003100000}"/>
    <cellStyle name="Финансовый 8 2 3 3 2" xfId="4100" xr:uid="{00000000-0005-0000-0000-000004100000}"/>
    <cellStyle name="Финансовый 8 2 3 3 3" xfId="4101" xr:uid="{00000000-0005-0000-0000-000005100000}"/>
    <cellStyle name="Финансовый 8 2 3 4" xfId="4102" xr:uid="{00000000-0005-0000-0000-000006100000}"/>
    <cellStyle name="Финансовый 8 2 3 5" xfId="4103" xr:uid="{00000000-0005-0000-0000-000007100000}"/>
    <cellStyle name="Финансовый 8 2 4" xfId="4104" xr:uid="{00000000-0005-0000-0000-000008100000}"/>
    <cellStyle name="Финансовый 8 2 4 2" xfId="4105" xr:uid="{00000000-0005-0000-0000-000009100000}"/>
    <cellStyle name="Финансовый 8 2 4 2 2" xfId="4106" xr:uid="{00000000-0005-0000-0000-00000A100000}"/>
    <cellStyle name="Финансовый 8 2 4 2 3" xfId="4107" xr:uid="{00000000-0005-0000-0000-00000B100000}"/>
    <cellStyle name="Финансовый 8 2 4 3" xfId="4108" xr:uid="{00000000-0005-0000-0000-00000C100000}"/>
    <cellStyle name="Финансовый 8 2 4 4" xfId="4109" xr:uid="{00000000-0005-0000-0000-00000D100000}"/>
    <cellStyle name="Финансовый 8 2 5" xfId="4110" xr:uid="{00000000-0005-0000-0000-00000E100000}"/>
    <cellStyle name="Финансовый 8 2 5 2" xfId="4111" xr:uid="{00000000-0005-0000-0000-00000F100000}"/>
    <cellStyle name="Финансовый 8 2 5 3" xfId="4112" xr:uid="{00000000-0005-0000-0000-000010100000}"/>
    <cellStyle name="Финансовый 8 2 6" xfId="4113" xr:uid="{00000000-0005-0000-0000-000011100000}"/>
    <cellStyle name="Финансовый 8 2 7" xfId="4114" xr:uid="{00000000-0005-0000-0000-000012100000}"/>
    <cellStyle name="Финансовый 8 2 8" xfId="4115" xr:uid="{00000000-0005-0000-0000-000013100000}"/>
    <cellStyle name="Финансовый 8 3" xfId="4116" xr:uid="{00000000-0005-0000-0000-000014100000}"/>
    <cellStyle name="Финансовый 8 3 2" xfId="4117" xr:uid="{00000000-0005-0000-0000-000015100000}"/>
    <cellStyle name="Финансовый 8 3 2 2" xfId="4118" xr:uid="{00000000-0005-0000-0000-000016100000}"/>
    <cellStyle name="Финансовый 8 3 2 2 2" xfId="4119" xr:uid="{00000000-0005-0000-0000-000017100000}"/>
    <cellStyle name="Финансовый 8 3 2 2 3" xfId="4120" xr:uid="{00000000-0005-0000-0000-000018100000}"/>
    <cellStyle name="Финансовый 8 3 2 3" xfId="4121" xr:uid="{00000000-0005-0000-0000-000019100000}"/>
    <cellStyle name="Финансовый 8 3 2 4" xfId="4122" xr:uid="{00000000-0005-0000-0000-00001A100000}"/>
    <cellStyle name="Финансовый 8 3 3" xfId="4123" xr:uid="{00000000-0005-0000-0000-00001B100000}"/>
    <cellStyle name="Финансовый 8 3 3 2" xfId="4124" xr:uid="{00000000-0005-0000-0000-00001C100000}"/>
    <cellStyle name="Финансовый 8 3 3 3" xfId="4125" xr:uid="{00000000-0005-0000-0000-00001D100000}"/>
    <cellStyle name="Финансовый 8 3 4" xfId="4126" xr:uid="{00000000-0005-0000-0000-00001E100000}"/>
    <cellStyle name="Финансовый 8 3 5" xfId="4127" xr:uid="{00000000-0005-0000-0000-00001F100000}"/>
    <cellStyle name="Финансовый 8 4" xfId="4128" xr:uid="{00000000-0005-0000-0000-000020100000}"/>
    <cellStyle name="Финансовый 8 4 2" xfId="4129" xr:uid="{00000000-0005-0000-0000-000021100000}"/>
    <cellStyle name="Финансовый 8 4 2 2" xfId="4130" xr:uid="{00000000-0005-0000-0000-000022100000}"/>
    <cellStyle name="Финансовый 8 4 2 2 2" xfId="4131" xr:uid="{00000000-0005-0000-0000-000023100000}"/>
    <cellStyle name="Финансовый 8 4 2 2 3" xfId="4132" xr:uid="{00000000-0005-0000-0000-000024100000}"/>
    <cellStyle name="Финансовый 8 4 2 3" xfId="4133" xr:uid="{00000000-0005-0000-0000-000025100000}"/>
    <cellStyle name="Финансовый 8 4 2 4" xfId="4134" xr:uid="{00000000-0005-0000-0000-000026100000}"/>
    <cellStyle name="Финансовый 8 4 3" xfId="4135" xr:uid="{00000000-0005-0000-0000-000027100000}"/>
    <cellStyle name="Финансовый 8 4 3 2" xfId="4136" xr:uid="{00000000-0005-0000-0000-000028100000}"/>
    <cellStyle name="Финансовый 8 4 3 3" xfId="4137" xr:uid="{00000000-0005-0000-0000-000029100000}"/>
    <cellStyle name="Финансовый 8 4 4" xfId="4138" xr:uid="{00000000-0005-0000-0000-00002A100000}"/>
    <cellStyle name="Финансовый 8 4 5" xfId="4139" xr:uid="{00000000-0005-0000-0000-00002B100000}"/>
    <cellStyle name="Финансовый 8 5" xfId="4140" xr:uid="{00000000-0005-0000-0000-00002C100000}"/>
    <cellStyle name="Финансовый 8 5 2" xfId="4141" xr:uid="{00000000-0005-0000-0000-00002D100000}"/>
    <cellStyle name="Финансовый 8 5 2 2" xfId="4142" xr:uid="{00000000-0005-0000-0000-00002E100000}"/>
    <cellStyle name="Финансовый 8 5 2 3" xfId="4143" xr:uid="{00000000-0005-0000-0000-00002F100000}"/>
    <cellStyle name="Финансовый 8 5 3" xfId="4144" xr:uid="{00000000-0005-0000-0000-000030100000}"/>
    <cellStyle name="Финансовый 8 5 4" xfId="4145" xr:uid="{00000000-0005-0000-0000-000031100000}"/>
    <cellStyle name="Финансовый 8 6" xfId="4146" xr:uid="{00000000-0005-0000-0000-000032100000}"/>
    <cellStyle name="Финансовый 8 6 2" xfId="4147" xr:uid="{00000000-0005-0000-0000-000033100000}"/>
    <cellStyle name="Финансовый 8 6 2 2" xfId="4148" xr:uid="{00000000-0005-0000-0000-000034100000}"/>
    <cellStyle name="Финансовый 8 6 2 3" xfId="4149" xr:uid="{00000000-0005-0000-0000-000035100000}"/>
    <cellStyle name="Финансовый 8 6 3" xfId="4150" xr:uid="{00000000-0005-0000-0000-000036100000}"/>
    <cellStyle name="Финансовый 8 6 4" xfId="4151" xr:uid="{00000000-0005-0000-0000-000037100000}"/>
    <cellStyle name="Финансовый 8 7" xfId="4152" xr:uid="{00000000-0005-0000-0000-000038100000}"/>
    <cellStyle name="Финансовый 8 7 2" xfId="4153" xr:uid="{00000000-0005-0000-0000-000039100000}"/>
    <cellStyle name="Финансовый 8 7 2 2" xfId="4154" xr:uid="{00000000-0005-0000-0000-00003A100000}"/>
    <cellStyle name="Финансовый 8 7 2 3" xfId="4155" xr:uid="{00000000-0005-0000-0000-00003B100000}"/>
    <cellStyle name="Финансовый 8 7 3" xfId="4156" xr:uid="{00000000-0005-0000-0000-00003C100000}"/>
    <cellStyle name="Финансовый 8 7 4" xfId="4157" xr:uid="{00000000-0005-0000-0000-00003D100000}"/>
    <cellStyle name="Финансовый 8 8" xfId="4158" xr:uid="{00000000-0005-0000-0000-00003E100000}"/>
    <cellStyle name="Финансовый 8 8 2" xfId="4159" xr:uid="{00000000-0005-0000-0000-00003F100000}"/>
    <cellStyle name="Финансовый 8 8 2 2" xfId="4160" xr:uid="{00000000-0005-0000-0000-000040100000}"/>
    <cellStyle name="Финансовый 8 8 2 3" xfId="4161" xr:uid="{00000000-0005-0000-0000-000041100000}"/>
    <cellStyle name="Финансовый 8 8 3" xfId="4162" xr:uid="{00000000-0005-0000-0000-000042100000}"/>
    <cellStyle name="Финансовый 8 8 4" xfId="4163" xr:uid="{00000000-0005-0000-0000-000043100000}"/>
    <cellStyle name="Финансовый 8 9" xfId="4164" xr:uid="{00000000-0005-0000-0000-000044100000}"/>
    <cellStyle name="Финансовый 8 9 2" xfId="4165" xr:uid="{00000000-0005-0000-0000-000045100000}"/>
    <cellStyle name="Финансовый 8 9 3" xfId="4166" xr:uid="{00000000-0005-0000-0000-000046100000}"/>
    <cellStyle name="Финансовый 9" xfId="4167" xr:uid="{00000000-0005-0000-0000-000047100000}"/>
    <cellStyle name="Финансовый 9 10" xfId="4168" xr:uid="{00000000-0005-0000-0000-000048100000}"/>
    <cellStyle name="Финансовый 9 11" xfId="4169" xr:uid="{00000000-0005-0000-0000-000049100000}"/>
    <cellStyle name="Финансовый 9 12" xfId="4170" xr:uid="{00000000-0005-0000-0000-00004A100000}"/>
    <cellStyle name="Финансовый 9 13" xfId="4171" xr:uid="{00000000-0005-0000-0000-00004B100000}"/>
    <cellStyle name="Финансовый 9 2" xfId="4172" xr:uid="{00000000-0005-0000-0000-00004C100000}"/>
    <cellStyle name="Финансовый 9 2 2" xfId="4173" xr:uid="{00000000-0005-0000-0000-00004D100000}"/>
    <cellStyle name="Финансовый 9 2 2 2" xfId="4174" xr:uid="{00000000-0005-0000-0000-00004E100000}"/>
    <cellStyle name="Финансовый 9 2 2 2 2" xfId="4175" xr:uid="{00000000-0005-0000-0000-00004F100000}"/>
    <cellStyle name="Финансовый 9 2 2 2 2 2" xfId="4176" xr:uid="{00000000-0005-0000-0000-000050100000}"/>
    <cellStyle name="Финансовый 9 2 2 2 2 3" xfId="4177" xr:uid="{00000000-0005-0000-0000-000051100000}"/>
    <cellStyle name="Финансовый 9 2 2 2 3" xfId="4178" xr:uid="{00000000-0005-0000-0000-000052100000}"/>
    <cellStyle name="Финансовый 9 2 2 2 4" xfId="4179" xr:uid="{00000000-0005-0000-0000-000053100000}"/>
    <cellStyle name="Финансовый 9 2 2 3" xfId="4180" xr:uid="{00000000-0005-0000-0000-000054100000}"/>
    <cellStyle name="Финансовый 9 2 2 3 2" xfId="4181" xr:uid="{00000000-0005-0000-0000-000055100000}"/>
    <cellStyle name="Финансовый 9 2 2 3 3" xfId="4182" xr:uid="{00000000-0005-0000-0000-000056100000}"/>
    <cellStyle name="Финансовый 9 2 2 4" xfId="4183" xr:uid="{00000000-0005-0000-0000-000057100000}"/>
    <cellStyle name="Финансовый 9 2 2 5" xfId="4184" xr:uid="{00000000-0005-0000-0000-000058100000}"/>
    <cellStyle name="Финансовый 9 2 3" xfId="4185" xr:uid="{00000000-0005-0000-0000-000059100000}"/>
    <cellStyle name="Финансовый 9 2 3 2" xfId="4186" xr:uid="{00000000-0005-0000-0000-00005A100000}"/>
    <cellStyle name="Финансовый 9 2 3 2 2" xfId="4187" xr:uid="{00000000-0005-0000-0000-00005B100000}"/>
    <cellStyle name="Финансовый 9 2 3 2 2 2" xfId="4188" xr:uid="{00000000-0005-0000-0000-00005C100000}"/>
    <cellStyle name="Финансовый 9 2 3 2 2 3" xfId="4189" xr:uid="{00000000-0005-0000-0000-00005D100000}"/>
    <cellStyle name="Финансовый 9 2 3 2 3" xfId="4190" xr:uid="{00000000-0005-0000-0000-00005E100000}"/>
    <cellStyle name="Финансовый 9 2 3 2 4" xfId="4191" xr:uid="{00000000-0005-0000-0000-00005F100000}"/>
    <cellStyle name="Финансовый 9 2 3 3" xfId="4192" xr:uid="{00000000-0005-0000-0000-000060100000}"/>
    <cellStyle name="Финансовый 9 2 3 3 2" xfId="4193" xr:uid="{00000000-0005-0000-0000-000061100000}"/>
    <cellStyle name="Финансовый 9 2 3 3 3" xfId="4194" xr:uid="{00000000-0005-0000-0000-000062100000}"/>
    <cellStyle name="Финансовый 9 2 3 4" xfId="4195" xr:uid="{00000000-0005-0000-0000-000063100000}"/>
    <cellStyle name="Финансовый 9 2 3 5" xfId="4196" xr:uid="{00000000-0005-0000-0000-000064100000}"/>
    <cellStyle name="Финансовый 9 2 4" xfId="4197" xr:uid="{00000000-0005-0000-0000-000065100000}"/>
    <cellStyle name="Финансовый 9 2 4 2" xfId="4198" xr:uid="{00000000-0005-0000-0000-000066100000}"/>
    <cellStyle name="Финансовый 9 2 4 2 2" xfId="4199" xr:uid="{00000000-0005-0000-0000-000067100000}"/>
    <cellStyle name="Финансовый 9 2 4 2 3" xfId="4200" xr:uid="{00000000-0005-0000-0000-000068100000}"/>
    <cellStyle name="Финансовый 9 2 4 3" xfId="4201" xr:uid="{00000000-0005-0000-0000-000069100000}"/>
    <cellStyle name="Финансовый 9 2 4 4" xfId="4202" xr:uid="{00000000-0005-0000-0000-00006A100000}"/>
    <cellStyle name="Финансовый 9 2 5" xfId="4203" xr:uid="{00000000-0005-0000-0000-00006B100000}"/>
    <cellStyle name="Финансовый 9 2 5 2" xfId="4204" xr:uid="{00000000-0005-0000-0000-00006C100000}"/>
    <cellStyle name="Финансовый 9 2 5 3" xfId="4205" xr:uid="{00000000-0005-0000-0000-00006D100000}"/>
    <cellStyle name="Финансовый 9 2 6" xfId="4206" xr:uid="{00000000-0005-0000-0000-00006E100000}"/>
    <cellStyle name="Финансовый 9 2 7" xfId="4207" xr:uid="{00000000-0005-0000-0000-00006F100000}"/>
    <cellStyle name="Финансовый 9 2 8" xfId="4208" xr:uid="{00000000-0005-0000-0000-000070100000}"/>
    <cellStyle name="Финансовый 9 3" xfId="4209" xr:uid="{00000000-0005-0000-0000-000071100000}"/>
    <cellStyle name="Финансовый 9 3 2" xfId="4210" xr:uid="{00000000-0005-0000-0000-000072100000}"/>
    <cellStyle name="Финансовый 9 3 2 2" xfId="4211" xr:uid="{00000000-0005-0000-0000-000073100000}"/>
    <cellStyle name="Финансовый 9 3 2 2 2" xfId="4212" xr:uid="{00000000-0005-0000-0000-000074100000}"/>
    <cellStyle name="Финансовый 9 3 2 2 3" xfId="4213" xr:uid="{00000000-0005-0000-0000-000075100000}"/>
    <cellStyle name="Финансовый 9 3 2 3" xfId="4214" xr:uid="{00000000-0005-0000-0000-000076100000}"/>
    <cellStyle name="Финансовый 9 3 2 4" xfId="4215" xr:uid="{00000000-0005-0000-0000-000077100000}"/>
    <cellStyle name="Финансовый 9 3 3" xfId="4216" xr:uid="{00000000-0005-0000-0000-000078100000}"/>
    <cellStyle name="Финансовый 9 3 3 2" xfId="4217" xr:uid="{00000000-0005-0000-0000-000079100000}"/>
    <cellStyle name="Финансовый 9 3 3 3" xfId="4218" xr:uid="{00000000-0005-0000-0000-00007A100000}"/>
    <cellStyle name="Финансовый 9 3 4" xfId="4219" xr:uid="{00000000-0005-0000-0000-00007B100000}"/>
    <cellStyle name="Финансовый 9 3 5" xfId="4220" xr:uid="{00000000-0005-0000-0000-00007C100000}"/>
    <cellStyle name="Финансовый 9 4" xfId="4221" xr:uid="{00000000-0005-0000-0000-00007D100000}"/>
    <cellStyle name="Финансовый 9 4 2" xfId="4222" xr:uid="{00000000-0005-0000-0000-00007E100000}"/>
    <cellStyle name="Финансовый 9 4 2 2" xfId="4223" xr:uid="{00000000-0005-0000-0000-00007F100000}"/>
    <cellStyle name="Финансовый 9 4 2 2 2" xfId="4224" xr:uid="{00000000-0005-0000-0000-000080100000}"/>
    <cellStyle name="Финансовый 9 4 2 2 3" xfId="4225" xr:uid="{00000000-0005-0000-0000-000081100000}"/>
    <cellStyle name="Финансовый 9 4 2 3" xfId="4226" xr:uid="{00000000-0005-0000-0000-000082100000}"/>
    <cellStyle name="Финансовый 9 4 2 4" xfId="4227" xr:uid="{00000000-0005-0000-0000-000083100000}"/>
    <cellStyle name="Финансовый 9 4 3" xfId="4228" xr:uid="{00000000-0005-0000-0000-000084100000}"/>
    <cellStyle name="Финансовый 9 4 3 2" xfId="4229" xr:uid="{00000000-0005-0000-0000-000085100000}"/>
    <cellStyle name="Финансовый 9 4 3 3" xfId="4230" xr:uid="{00000000-0005-0000-0000-000086100000}"/>
    <cellStyle name="Финансовый 9 4 4" xfId="4231" xr:uid="{00000000-0005-0000-0000-000087100000}"/>
    <cellStyle name="Финансовый 9 4 5" xfId="4232" xr:uid="{00000000-0005-0000-0000-000088100000}"/>
    <cellStyle name="Финансовый 9 5" xfId="4233" xr:uid="{00000000-0005-0000-0000-000089100000}"/>
    <cellStyle name="Финансовый 9 5 2" xfId="4234" xr:uid="{00000000-0005-0000-0000-00008A100000}"/>
    <cellStyle name="Финансовый 9 5 2 2" xfId="4235" xr:uid="{00000000-0005-0000-0000-00008B100000}"/>
    <cellStyle name="Финансовый 9 5 2 3" xfId="4236" xr:uid="{00000000-0005-0000-0000-00008C100000}"/>
    <cellStyle name="Финансовый 9 5 3" xfId="4237" xr:uid="{00000000-0005-0000-0000-00008D100000}"/>
    <cellStyle name="Финансовый 9 5 4" xfId="4238" xr:uid="{00000000-0005-0000-0000-00008E100000}"/>
    <cellStyle name="Финансовый 9 6" xfId="4239" xr:uid="{00000000-0005-0000-0000-00008F100000}"/>
    <cellStyle name="Финансовый 9 6 2" xfId="4240" xr:uid="{00000000-0005-0000-0000-000090100000}"/>
    <cellStyle name="Финансовый 9 6 2 2" xfId="4241" xr:uid="{00000000-0005-0000-0000-000091100000}"/>
    <cellStyle name="Финансовый 9 6 2 3" xfId="4242" xr:uid="{00000000-0005-0000-0000-000092100000}"/>
    <cellStyle name="Финансовый 9 6 3" xfId="4243" xr:uid="{00000000-0005-0000-0000-000093100000}"/>
    <cellStyle name="Финансовый 9 6 4" xfId="4244" xr:uid="{00000000-0005-0000-0000-000094100000}"/>
    <cellStyle name="Финансовый 9 7" xfId="4245" xr:uid="{00000000-0005-0000-0000-000095100000}"/>
    <cellStyle name="Финансовый 9 7 2" xfId="4246" xr:uid="{00000000-0005-0000-0000-000096100000}"/>
    <cellStyle name="Финансовый 9 7 2 2" xfId="4247" xr:uid="{00000000-0005-0000-0000-000097100000}"/>
    <cellStyle name="Финансовый 9 7 2 3" xfId="4248" xr:uid="{00000000-0005-0000-0000-000098100000}"/>
    <cellStyle name="Финансовый 9 7 3" xfId="4249" xr:uid="{00000000-0005-0000-0000-000099100000}"/>
    <cellStyle name="Финансовый 9 7 4" xfId="4250" xr:uid="{00000000-0005-0000-0000-00009A100000}"/>
    <cellStyle name="Финансовый 9 8" xfId="4251" xr:uid="{00000000-0005-0000-0000-00009B100000}"/>
    <cellStyle name="Финансовый 9 8 2" xfId="4252" xr:uid="{00000000-0005-0000-0000-00009C100000}"/>
    <cellStyle name="Финансовый 9 8 2 2" xfId="4253" xr:uid="{00000000-0005-0000-0000-00009D100000}"/>
    <cellStyle name="Финансовый 9 8 2 3" xfId="4254" xr:uid="{00000000-0005-0000-0000-00009E100000}"/>
    <cellStyle name="Финансовый 9 8 3" xfId="4255" xr:uid="{00000000-0005-0000-0000-00009F100000}"/>
    <cellStyle name="Финансовый 9 8 4" xfId="4256" xr:uid="{00000000-0005-0000-0000-0000A0100000}"/>
    <cellStyle name="Финансовый 9 9" xfId="4257" xr:uid="{00000000-0005-0000-0000-0000A1100000}"/>
    <cellStyle name="Финансовый 9 9 2" xfId="4258" xr:uid="{00000000-0005-0000-0000-0000A2100000}"/>
    <cellStyle name="Финансовый 9 9 3" xfId="4259" xr:uid="{00000000-0005-0000-0000-0000A31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R1084"/>
  <sheetViews>
    <sheetView view="pageBreakPreview" topLeftCell="B851" zoomScale="70" workbookViewId="0">
      <selection activeCell="A334" sqref="A334:XFD357"/>
    </sheetView>
  </sheetViews>
  <sheetFormatPr defaultRowHeight="15" x14ac:dyDescent="0.25"/>
  <cols>
    <col min="1" max="1" width="7.140625" style="1" customWidth="1"/>
    <col min="2" max="2" width="52.42578125" style="1" customWidth="1"/>
    <col min="3" max="3" width="17.140625" style="1" customWidth="1"/>
    <col min="4" max="4" width="9.140625" style="1" customWidth="1"/>
    <col min="5" max="5" width="9.140625" style="2" customWidth="1"/>
    <col min="6" max="6" width="18.42578125" style="1" customWidth="1"/>
    <col min="7" max="7" width="9.28515625" style="3" customWidth="1"/>
    <col min="8" max="8" width="9.140625" style="3" customWidth="1"/>
    <col min="9" max="9" width="13.7109375" style="3" customWidth="1"/>
    <col min="10" max="10" width="14" style="3" customWidth="1"/>
    <col min="11" max="11" width="13" style="3" customWidth="1"/>
    <col min="12" max="12" width="10.85546875" style="3" customWidth="1"/>
    <col min="13" max="13" width="18.85546875" style="3" customWidth="1"/>
    <col min="14" max="14" width="13.5703125" style="3" customWidth="1"/>
    <col min="15" max="15" width="11.140625" style="3" customWidth="1"/>
    <col min="16" max="16" width="12.42578125" style="3" customWidth="1"/>
    <col min="17" max="17" width="17.42578125" style="3" customWidth="1"/>
    <col min="18" max="18" width="17" style="3" customWidth="1"/>
    <col min="19" max="19" width="10.28515625" style="3" customWidth="1"/>
    <col min="20" max="20" width="15" style="3" customWidth="1"/>
    <col min="21" max="21" width="14.140625" style="3" customWidth="1"/>
    <col min="22" max="22" width="12" style="3" customWidth="1"/>
    <col min="23" max="27" width="9.140625" customWidth="1"/>
  </cols>
  <sheetData>
    <row r="1" spans="1:23" ht="18.75" x14ac:dyDescent="0.3">
      <c r="E1" s="1"/>
      <c r="G1" s="1"/>
      <c r="H1" s="1"/>
      <c r="I1" s="1"/>
      <c r="J1" s="1"/>
      <c r="K1" s="1"/>
      <c r="L1" s="1"/>
      <c r="M1" s="1"/>
      <c r="N1" s="1"/>
      <c r="O1" s="1"/>
      <c r="P1" s="1"/>
      <c r="Q1" s="4"/>
      <c r="R1" s="336" t="s">
        <v>0</v>
      </c>
      <c r="S1" s="336"/>
      <c r="T1" s="336"/>
      <c r="U1" s="336"/>
      <c r="V1" s="336"/>
      <c r="W1" s="6"/>
    </row>
    <row r="2" spans="1:23" ht="18.75" x14ac:dyDescent="0.3">
      <c r="E2" s="1"/>
      <c r="G2" s="1"/>
      <c r="H2" s="1"/>
      <c r="I2" s="1"/>
      <c r="J2" s="1"/>
      <c r="K2" s="1"/>
      <c r="L2" s="1"/>
      <c r="M2" s="1"/>
      <c r="N2" s="1"/>
      <c r="O2" s="1"/>
      <c r="P2" s="1"/>
      <c r="Q2" s="5"/>
      <c r="R2" s="5"/>
      <c r="S2" s="5"/>
      <c r="T2" s="5"/>
      <c r="U2" s="5"/>
      <c r="V2" s="5"/>
      <c r="W2" s="6"/>
    </row>
    <row r="3" spans="1:23" ht="18.75" x14ac:dyDescent="0.3">
      <c r="E3" s="1"/>
      <c r="G3" s="1"/>
      <c r="H3" s="1"/>
      <c r="I3" s="1"/>
      <c r="J3" s="1"/>
      <c r="K3" s="1"/>
      <c r="L3" s="1"/>
      <c r="M3" s="1"/>
      <c r="N3" s="1"/>
      <c r="O3" s="1"/>
      <c r="P3" s="1"/>
      <c r="Q3" s="5"/>
      <c r="R3" s="336" t="s">
        <v>1</v>
      </c>
      <c r="S3" s="336"/>
      <c r="T3" s="336"/>
      <c r="U3" s="336"/>
      <c r="V3" s="336"/>
      <c r="W3" s="6"/>
    </row>
    <row r="4" spans="1:23" ht="18.75" x14ac:dyDescent="0.3">
      <c r="E4" s="1"/>
      <c r="G4" s="1"/>
      <c r="H4" s="1"/>
      <c r="I4" s="1"/>
      <c r="J4" s="1"/>
      <c r="K4" s="1"/>
      <c r="L4" s="1"/>
      <c r="M4" s="1"/>
      <c r="N4" s="1"/>
      <c r="O4" s="1"/>
      <c r="P4" s="1"/>
      <c r="Q4" s="5"/>
      <c r="R4" s="336" t="s">
        <v>2</v>
      </c>
      <c r="S4" s="336"/>
      <c r="T4" s="336"/>
      <c r="U4" s="336"/>
      <c r="V4" s="336"/>
      <c r="W4" s="6"/>
    </row>
    <row r="5" spans="1:23" ht="18.75" x14ac:dyDescent="0.3">
      <c r="E5" s="1"/>
      <c r="G5" s="1"/>
      <c r="H5" s="1"/>
      <c r="I5" s="1"/>
      <c r="J5" s="1"/>
      <c r="K5" s="1"/>
      <c r="L5" s="1"/>
      <c r="M5" s="1"/>
      <c r="N5" s="1"/>
      <c r="O5" s="1"/>
      <c r="P5" s="1"/>
      <c r="Q5" s="5"/>
      <c r="R5" s="336" t="s">
        <v>3</v>
      </c>
      <c r="S5" s="336"/>
      <c r="T5" s="336"/>
      <c r="U5" s="336"/>
      <c r="V5" s="336"/>
      <c r="W5" s="6"/>
    </row>
    <row r="6" spans="1:23" ht="18.75" x14ac:dyDescent="0.3">
      <c r="E6" s="1"/>
      <c r="G6" s="1"/>
      <c r="H6" s="1"/>
      <c r="I6" s="1"/>
      <c r="J6" s="1"/>
      <c r="K6" s="1"/>
      <c r="L6" s="1"/>
      <c r="M6" s="1"/>
      <c r="N6" s="1"/>
      <c r="O6" s="1"/>
      <c r="P6" s="1"/>
      <c r="Q6" s="5"/>
      <c r="R6" s="336" t="s">
        <v>4</v>
      </c>
      <c r="S6" s="336"/>
      <c r="T6" s="336"/>
      <c r="U6" s="336"/>
      <c r="V6" s="336"/>
      <c r="W6" s="6"/>
    </row>
    <row r="7" spans="1:23" ht="18.75" x14ac:dyDescent="0.3">
      <c r="E7" s="1"/>
      <c r="G7" s="1"/>
      <c r="H7" s="1"/>
      <c r="I7" s="1"/>
      <c r="J7" s="1"/>
      <c r="K7" s="1"/>
      <c r="L7" s="1"/>
      <c r="M7" s="1"/>
      <c r="N7" s="1"/>
      <c r="O7" s="1"/>
      <c r="P7" s="1"/>
      <c r="Q7" s="5"/>
      <c r="R7" s="336" t="s">
        <v>2</v>
      </c>
      <c r="S7" s="336"/>
      <c r="T7" s="336"/>
      <c r="U7" s="336"/>
      <c r="V7" s="336"/>
      <c r="W7" s="6"/>
    </row>
    <row r="8" spans="1:23" s="7" customFormat="1" ht="18.600000000000001" customHeight="1" x14ac:dyDescent="0.3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5"/>
      <c r="R8" s="337" t="s">
        <v>5</v>
      </c>
      <c r="S8" s="337"/>
      <c r="T8" s="337"/>
      <c r="U8" s="337"/>
      <c r="V8" s="337"/>
      <c r="W8" s="6"/>
    </row>
    <row r="9" spans="1:23" s="7" customFormat="1" ht="10.15" customHeight="1" x14ac:dyDescent="0.3">
      <c r="A9" s="1"/>
      <c r="B9" s="1"/>
      <c r="C9" s="1"/>
      <c r="D9" s="1"/>
      <c r="E9" s="2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5"/>
      <c r="R9" s="5"/>
      <c r="S9" s="5"/>
      <c r="T9" s="5"/>
      <c r="U9" s="5"/>
      <c r="V9" s="5"/>
    </row>
    <row r="10" spans="1:23" ht="15" customHeight="1" x14ac:dyDescent="0.25"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3" ht="25.9" customHeight="1" x14ac:dyDescent="0.25">
      <c r="A11" s="338" t="s">
        <v>6</v>
      </c>
      <c r="B11" s="338"/>
      <c r="C11" s="338"/>
      <c r="D11" s="338"/>
      <c r="E11" s="339"/>
      <c r="F11" s="338"/>
      <c r="G11" s="338"/>
      <c r="H11" s="338"/>
      <c r="I11" s="338"/>
      <c r="J11" s="338"/>
      <c r="K11" s="338"/>
      <c r="L11" s="338"/>
      <c r="M11" s="338"/>
      <c r="N11" s="338"/>
      <c r="O11" s="338"/>
      <c r="P11" s="338"/>
      <c r="Q11" s="338"/>
      <c r="R11" s="338"/>
      <c r="S11" s="338"/>
      <c r="T11" s="338"/>
      <c r="U11" s="338"/>
      <c r="V11" s="338"/>
    </row>
    <row r="12" spans="1:23" ht="40.5" customHeight="1" x14ac:dyDescent="0.25">
      <c r="A12" s="330" t="s">
        <v>7</v>
      </c>
      <c r="B12" s="330"/>
      <c r="C12" s="330"/>
      <c r="D12" s="330"/>
      <c r="E12" s="331"/>
      <c r="F12" s="330"/>
      <c r="G12" s="330"/>
      <c r="H12" s="330"/>
      <c r="I12" s="330"/>
      <c r="J12" s="330"/>
      <c r="K12" s="330"/>
      <c r="L12" s="330"/>
      <c r="M12" s="330"/>
      <c r="N12" s="330"/>
      <c r="O12" s="330"/>
      <c r="P12" s="330"/>
      <c r="Q12" s="330"/>
      <c r="R12" s="330"/>
      <c r="S12" s="330"/>
      <c r="T12" s="330"/>
      <c r="U12" s="330"/>
      <c r="V12" s="330"/>
    </row>
    <row r="13" spans="1:23" ht="7.5" customHeight="1" x14ac:dyDescent="0.25">
      <c r="A13" s="329"/>
      <c r="B13" s="329"/>
      <c r="C13" s="330"/>
      <c r="D13" s="330"/>
      <c r="E13" s="331"/>
      <c r="F13" s="330"/>
      <c r="G13" s="330"/>
      <c r="H13" s="330"/>
      <c r="I13" s="330"/>
      <c r="J13" s="330"/>
      <c r="K13" s="330"/>
      <c r="L13" s="330"/>
      <c r="M13" s="330"/>
      <c r="N13" s="330"/>
      <c r="O13" s="330"/>
      <c r="P13" s="330"/>
      <c r="Q13" s="330"/>
      <c r="R13" s="330"/>
      <c r="S13" s="330"/>
      <c r="T13" s="330"/>
      <c r="U13" s="330"/>
      <c r="V13" s="330"/>
    </row>
    <row r="14" spans="1:23" ht="29.45" customHeight="1" x14ac:dyDescent="0.25">
      <c r="A14" s="332" t="s">
        <v>8</v>
      </c>
      <c r="B14" s="332" t="s">
        <v>9</v>
      </c>
      <c r="C14" s="332" t="s">
        <v>10</v>
      </c>
      <c r="D14" s="332" t="s">
        <v>11</v>
      </c>
      <c r="E14" s="333"/>
      <c r="F14" s="334" t="s">
        <v>12</v>
      </c>
      <c r="G14" s="334" t="s">
        <v>13</v>
      </c>
      <c r="H14" s="334" t="s">
        <v>14</v>
      </c>
      <c r="I14" s="334" t="s">
        <v>15</v>
      </c>
      <c r="J14" s="332" t="s">
        <v>16</v>
      </c>
      <c r="K14" s="332"/>
      <c r="L14" s="334" t="s">
        <v>17</v>
      </c>
      <c r="M14" s="332" t="s">
        <v>18</v>
      </c>
      <c r="N14" s="332"/>
      <c r="O14" s="332"/>
      <c r="P14" s="332"/>
      <c r="Q14" s="332"/>
      <c r="R14" s="332"/>
      <c r="S14" s="332"/>
      <c r="T14" s="334" t="s">
        <v>19</v>
      </c>
      <c r="U14" s="334" t="s">
        <v>20</v>
      </c>
      <c r="V14" s="334" t="s">
        <v>21</v>
      </c>
    </row>
    <row r="15" spans="1:23" ht="12" customHeight="1" x14ac:dyDescent="0.25">
      <c r="A15" s="332"/>
      <c r="B15" s="332"/>
      <c r="C15" s="332"/>
      <c r="D15" s="334" t="s">
        <v>22</v>
      </c>
      <c r="E15" s="335" t="s">
        <v>23</v>
      </c>
      <c r="F15" s="334"/>
      <c r="G15" s="334"/>
      <c r="H15" s="334"/>
      <c r="I15" s="334"/>
      <c r="J15" s="334" t="s">
        <v>24</v>
      </c>
      <c r="K15" s="334" t="s">
        <v>25</v>
      </c>
      <c r="L15" s="334"/>
      <c r="M15" s="334" t="s">
        <v>24</v>
      </c>
      <c r="N15" s="332" t="s">
        <v>26</v>
      </c>
      <c r="O15" s="332"/>
      <c r="P15" s="332"/>
      <c r="Q15" s="332"/>
      <c r="R15" s="332"/>
      <c r="S15" s="332"/>
      <c r="T15" s="334"/>
      <c r="U15" s="334"/>
      <c r="V15" s="334"/>
    </row>
    <row r="16" spans="1:23" ht="189.6" customHeight="1" x14ac:dyDescent="0.25">
      <c r="A16" s="332"/>
      <c r="B16" s="332"/>
      <c r="C16" s="332"/>
      <c r="D16" s="334"/>
      <c r="E16" s="335"/>
      <c r="F16" s="334"/>
      <c r="G16" s="334"/>
      <c r="H16" s="334"/>
      <c r="I16" s="334"/>
      <c r="J16" s="334"/>
      <c r="K16" s="334"/>
      <c r="L16" s="334"/>
      <c r="M16" s="334"/>
      <c r="N16" s="10" t="s">
        <v>27</v>
      </c>
      <c r="O16" s="10" t="s">
        <v>28</v>
      </c>
      <c r="P16" s="10" t="s">
        <v>29</v>
      </c>
      <c r="Q16" s="10" t="s">
        <v>30</v>
      </c>
      <c r="R16" s="10" t="s">
        <v>31</v>
      </c>
      <c r="S16" s="10" t="s">
        <v>32</v>
      </c>
      <c r="T16" s="334"/>
      <c r="U16" s="334"/>
      <c r="V16" s="334"/>
    </row>
    <row r="17" spans="1:22" ht="19.149999999999999" customHeight="1" x14ac:dyDescent="0.25">
      <c r="A17" s="332"/>
      <c r="B17" s="332"/>
      <c r="C17" s="332"/>
      <c r="D17" s="334"/>
      <c r="E17" s="335"/>
      <c r="F17" s="334"/>
      <c r="G17" s="334"/>
      <c r="H17" s="334"/>
      <c r="I17" s="8" t="s">
        <v>33</v>
      </c>
      <c r="J17" s="8" t="s">
        <v>33</v>
      </c>
      <c r="K17" s="8" t="s">
        <v>33</v>
      </c>
      <c r="L17" s="8" t="s">
        <v>34</v>
      </c>
      <c r="M17" s="8" t="s">
        <v>35</v>
      </c>
      <c r="N17" s="8" t="s">
        <v>35</v>
      </c>
      <c r="O17" s="8" t="s">
        <v>35</v>
      </c>
      <c r="P17" s="8" t="s">
        <v>35</v>
      </c>
      <c r="Q17" s="8" t="s">
        <v>35</v>
      </c>
      <c r="R17" s="8" t="s">
        <v>35</v>
      </c>
      <c r="S17" s="8" t="s">
        <v>35</v>
      </c>
      <c r="T17" s="8" t="s">
        <v>36</v>
      </c>
      <c r="U17" s="8" t="s">
        <v>36</v>
      </c>
      <c r="V17" s="334"/>
    </row>
    <row r="18" spans="1:22" ht="21" customHeight="1" x14ac:dyDescent="0.25">
      <c r="A18" s="8">
        <v>1</v>
      </c>
      <c r="B18" s="8">
        <v>2</v>
      </c>
      <c r="C18" s="8">
        <v>3</v>
      </c>
      <c r="D18" s="8">
        <v>4</v>
      </c>
      <c r="E18" s="9">
        <v>5</v>
      </c>
      <c r="F18" s="8">
        <v>6</v>
      </c>
      <c r="G18" s="11">
        <v>7</v>
      </c>
      <c r="H18" s="11">
        <v>8</v>
      </c>
      <c r="I18" s="11">
        <v>9</v>
      </c>
      <c r="J18" s="11">
        <v>10</v>
      </c>
      <c r="K18" s="11">
        <v>11</v>
      </c>
      <c r="L18" s="11">
        <v>12</v>
      </c>
      <c r="M18" s="11">
        <v>13</v>
      </c>
      <c r="N18" s="11">
        <v>14</v>
      </c>
      <c r="O18" s="11">
        <v>15</v>
      </c>
      <c r="P18" s="11">
        <v>16</v>
      </c>
      <c r="Q18" s="11">
        <v>17</v>
      </c>
      <c r="R18" s="11">
        <v>18</v>
      </c>
      <c r="S18" s="11">
        <v>19</v>
      </c>
      <c r="T18" s="11">
        <v>20</v>
      </c>
      <c r="U18" s="11">
        <v>21</v>
      </c>
      <c r="V18" s="11">
        <v>22</v>
      </c>
    </row>
    <row r="19" spans="1:22" s="12" customFormat="1" ht="21" customHeight="1" x14ac:dyDescent="0.25">
      <c r="A19" s="13"/>
      <c r="B19" s="14" t="s">
        <v>37</v>
      </c>
      <c r="C19" s="13"/>
      <c r="D19" s="13"/>
      <c r="E19" s="15"/>
      <c r="F19" s="13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</row>
    <row r="20" spans="1:22" s="17" customFormat="1" ht="31.5" customHeight="1" x14ac:dyDescent="0.2">
      <c r="A20" s="322" t="s">
        <v>38</v>
      </c>
      <c r="B20" s="322"/>
      <c r="C20" s="18" t="s">
        <v>39</v>
      </c>
      <c r="D20" s="18" t="s">
        <v>39</v>
      </c>
      <c r="E20" s="19" t="s">
        <v>39</v>
      </c>
      <c r="F20" s="18" t="s">
        <v>39</v>
      </c>
      <c r="G20" s="20" t="s">
        <v>39</v>
      </c>
      <c r="H20" s="20" t="s">
        <v>39</v>
      </c>
      <c r="I20" s="21">
        <f t="shared" ref="I20:S20" si="0">I21+I223+I228+I237+I244+I266+I268+I276+I279+I295+I312+I315+I318+I324+I338+I344+I359+I370+I380+I386+I389+I395+I402+I407+I419</f>
        <v>1319026.3400000001</v>
      </c>
      <c r="J20" s="21">
        <f t="shared" si="0"/>
        <v>1109521.26</v>
      </c>
      <c r="K20" s="21">
        <f t="shared" si="0"/>
        <v>967010.7799999998</v>
      </c>
      <c r="L20" s="22">
        <f t="shared" si="0"/>
        <v>40688</v>
      </c>
      <c r="M20" s="21">
        <f t="shared" si="0"/>
        <v>1464616546.0300009</v>
      </c>
      <c r="N20" s="21">
        <f t="shared" si="0"/>
        <v>0</v>
      </c>
      <c r="O20" s="21">
        <f t="shared" si="0"/>
        <v>0</v>
      </c>
      <c r="P20" s="21">
        <f t="shared" si="0"/>
        <v>0</v>
      </c>
      <c r="Q20" s="21">
        <f t="shared" si="0"/>
        <v>1464616546.0300009</v>
      </c>
      <c r="R20" s="21">
        <f t="shared" si="0"/>
        <v>1464616546.0300009</v>
      </c>
      <c r="S20" s="21">
        <f t="shared" si="0"/>
        <v>0</v>
      </c>
      <c r="T20" s="20" t="s">
        <v>40</v>
      </c>
      <c r="U20" s="20" t="s">
        <v>40</v>
      </c>
      <c r="V20" s="20" t="s">
        <v>40</v>
      </c>
    </row>
    <row r="21" spans="1:22" s="23" customFormat="1" ht="25.5" customHeight="1" x14ac:dyDescent="0.2">
      <c r="A21" s="322" t="s">
        <v>41</v>
      </c>
      <c r="B21" s="322"/>
      <c r="C21" s="18" t="s">
        <v>39</v>
      </c>
      <c r="D21" s="18" t="s">
        <v>39</v>
      </c>
      <c r="E21" s="19" t="s">
        <v>39</v>
      </c>
      <c r="F21" s="18" t="s">
        <v>39</v>
      </c>
      <c r="G21" s="20" t="s">
        <v>39</v>
      </c>
      <c r="H21" s="20" t="s">
        <v>39</v>
      </c>
      <c r="I21" s="21">
        <f t="shared" ref="I21:S21" si="1">SUM(I22:I222)</f>
        <v>804240.72000000009</v>
      </c>
      <c r="J21" s="21">
        <f t="shared" si="1"/>
        <v>702082.39</v>
      </c>
      <c r="K21" s="21">
        <f t="shared" si="1"/>
        <v>613544.34999999963</v>
      </c>
      <c r="L21" s="22">
        <f t="shared" si="1"/>
        <v>24560</v>
      </c>
      <c r="M21" s="21">
        <f t="shared" si="1"/>
        <v>888437309.85000038</v>
      </c>
      <c r="N21" s="21">
        <f t="shared" si="1"/>
        <v>0</v>
      </c>
      <c r="O21" s="21">
        <f t="shared" si="1"/>
        <v>0</v>
      </c>
      <c r="P21" s="21">
        <f t="shared" si="1"/>
        <v>0</v>
      </c>
      <c r="Q21" s="21">
        <f t="shared" si="1"/>
        <v>888437309.85000038</v>
      </c>
      <c r="R21" s="21">
        <f t="shared" si="1"/>
        <v>888437309.85000038</v>
      </c>
      <c r="S21" s="21">
        <f t="shared" si="1"/>
        <v>0</v>
      </c>
      <c r="T21" s="24" t="s">
        <v>40</v>
      </c>
      <c r="U21" s="24" t="s">
        <v>40</v>
      </c>
      <c r="V21" s="20" t="s">
        <v>40</v>
      </c>
    </row>
    <row r="22" spans="1:22" s="23" customFormat="1" ht="44.25" customHeight="1" x14ac:dyDescent="0.25">
      <c r="A22" s="25">
        <v>1</v>
      </c>
      <c r="B22" s="26" t="s">
        <v>42</v>
      </c>
      <c r="C22" s="25" t="s">
        <v>43</v>
      </c>
      <c r="D22" s="27">
        <v>1971</v>
      </c>
      <c r="E22" s="27" t="s">
        <v>39</v>
      </c>
      <c r="F22" s="25" t="s">
        <v>44</v>
      </c>
      <c r="G22" s="28">
        <v>5</v>
      </c>
      <c r="H22" s="28">
        <v>4</v>
      </c>
      <c r="I22" s="29">
        <v>3387.4</v>
      </c>
      <c r="J22" s="29">
        <v>3357.8</v>
      </c>
      <c r="K22" s="29">
        <v>3209</v>
      </c>
      <c r="L22" s="30">
        <v>159</v>
      </c>
      <c r="M22" s="31">
        <f t="shared" ref="M22:M85" si="2">SUM(N22:Q22)</f>
        <v>314576.99</v>
      </c>
      <c r="N22" s="29">
        <v>0</v>
      </c>
      <c r="O22" s="29">
        <v>0</v>
      </c>
      <c r="P22" s="29">
        <v>0</v>
      </c>
      <c r="Q22" s="32">
        <f>'Таблица 3 '!C12</f>
        <v>314576.99</v>
      </c>
      <c r="R22" s="29">
        <f t="shared" ref="R22:R85" si="3">Q22</f>
        <v>314576.99</v>
      </c>
      <c r="S22" s="29">
        <v>0</v>
      </c>
      <c r="T22" s="29">
        <f t="shared" ref="T22:T85" si="4">M22/J22</f>
        <v>93.685445827625216</v>
      </c>
      <c r="U22" s="29">
        <f t="shared" ref="U22:U85" si="5">T22</f>
        <v>93.685445827625216</v>
      </c>
      <c r="V22" s="33" t="s">
        <v>45</v>
      </c>
    </row>
    <row r="23" spans="1:22" s="23" customFormat="1" ht="44.25" customHeight="1" x14ac:dyDescent="0.25">
      <c r="A23" s="25">
        <v>2</v>
      </c>
      <c r="B23" s="26" t="s">
        <v>46</v>
      </c>
      <c r="C23" s="25" t="s">
        <v>43</v>
      </c>
      <c r="D23" s="27">
        <v>1967</v>
      </c>
      <c r="E23" s="27" t="s">
        <v>47</v>
      </c>
      <c r="F23" s="25" t="s">
        <v>48</v>
      </c>
      <c r="G23" s="28">
        <v>5</v>
      </c>
      <c r="H23" s="28">
        <v>4</v>
      </c>
      <c r="I23" s="29">
        <v>3860.4</v>
      </c>
      <c r="J23" s="29">
        <v>3835.4</v>
      </c>
      <c r="K23" s="29">
        <v>3760.5</v>
      </c>
      <c r="L23" s="30">
        <v>128</v>
      </c>
      <c r="M23" s="31">
        <f t="shared" si="2"/>
        <v>5950906.5700000003</v>
      </c>
      <c r="N23" s="29">
        <v>0</v>
      </c>
      <c r="O23" s="29">
        <v>0</v>
      </c>
      <c r="P23" s="29">
        <v>0</v>
      </c>
      <c r="Q23" s="32">
        <f>'Таблица 3 '!C13</f>
        <v>5950906.5700000003</v>
      </c>
      <c r="R23" s="29">
        <f t="shared" si="3"/>
        <v>5950906.5700000003</v>
      </c>
      <c r="S23" s="29">
        <v>0</v>
      </c>
      <c r="T23" s="29">
        <f t="shared" si="4"/>
        <v>1551.5739088491423</v>
      </c>
      <c r="U23" s="29">
        <f t="shared" si="5"/>
        <v>1551.5739088491423</v>
      </c>
      <c r="V23" s="33" t="s">
        <v>45</v>
      </c>
    </row>
    <row r="24" spans="1:22" s="23" customFormat="1" ht="44.25" customHeight="1" x14ac:dyDescent="0.25">
      <c r="A24" s="25">
        <v>3</v>
      </c>
      <c r="B24" s="34" t="s">
        <v>49</v>
      </c>
      <c r="C24" s="25" t="s">
        <v>43</v>
      </c>
      <c r="D24" s="27">
        <v>1961</v>
      </c>
      <c r="E24" s="27" t="s">
        <v>50</v>
      </c>
      <c r="F24" s="25" t="s">
        <v>44</v>
      </c>
      <c r="G24" s="28">
        <v>2</v>
      </c>
      <c r="H24" s="28">
        <v>1</v>
      </c>
      <c r="I24" s="29">
        <v>293.60000000000002</v>
      </c>
      <c r="J24" s="29">
        <v>292.10000000000002</v>
      </c>
      <c r="K24" s="29">
        <v>212.2</v>
      </c>
      <c r="L24" s="30">
        <v>22</v>
      </c>
      <c r="M24" s="31">
        <f t="shared" si="2"/>
        <v>171672.69</v>
      </c>
      <c r="N24" s="29">
        <v>0</v>
      </c>
      <c r="O24" s="29">
        <v>0</v>
      </c>
      <c r="P24" s="29">
        <v>0</v>
      </c>
      <c r="Q24" s="32">
        <f>'Таблица 3 '!C14</f>
        <v>171672.69</v>
      </c>
      <c r="R24" s="29">
        <f t="shared" si="3"/>
        <v>171672.69</v>
      </c>
      <c r="S24" s="29">
        <v>0</v>
      </c>
      <c r="T24" s="29">
        <f t="shared" si="4"/>
        <v>587.71889763779529</v>
      </c>
      <c r="U24" s="29">
        <f t="shared" si="5"/>
        <v>587.71889763779529</v>
      </c>
      <c r="V24" s="33" t="s">
        <v>45</v>
      </c>
    </row>
    <row r="25" spans="1:22" s="23" customFormat="1" ht="44.25" customHeight="1" x14ac:dyDescent="0.25">
      <c r="A25" s="25">
        <v>4</v>
      </c>
      <c r="B25" s="26" t="s">
        <v>51</v>
      </c>
      <c r="C25" s="25" t="s">
        <v>43</v>
      </c>
      <c r="D25" s="27">
        <v>1967</v>
      </c>
      <c r="E25" s="27" t="s">
        <v>50</v>
      </c>
      <c r="F25" s="25" t="s">
        <v>48</v>
      </c>
      <c r="G25" s="28">
        <v>5</v>
      </c>
      <c r="H25" s="28">
        <v>3</v>
      </c>
      <c r="I25" s="29">
        <v>2574.6</v>
      </c>
      <c r="J25" s="29">
        <v>2566.6999999999998</v>
      </c>
      <c r="K25" s="29">
        <v>2355</v>
      </c>
      <c r="L25" s="30">
        <v>188</v>
      </c>
      <c r="M25" s="31">
        <f t="shared" si="2"/>
        <v>5669424.5199999996</v>
      </c>
      <c r="N25" s="29">
        <v>0</v>
      </c>
      <c r="O25" s="29">
        <v>0</v>
      </c>
      <c r="P25" s="29">
        <v>0</v>
      </c>
      <c r="Q25" s="32">
        <f>'Таблица 3 '!C15</f>
        <v>5669424.5199999996</v>
      </c>
      <c r="R25" s="29">
        <f t="shared" si="3"/>
        <v>5669424.5199999996</v>
      </c>
      <c r="S25" s="29">
        <v>0</v>
      </c>
      <c r="T25" s="29">
        <f t="shared" si="4"/>
        <v>2208.8380098959756</v>
      </c>
      <c r="U25" s="29">
        <f t="shared" si="5"/>
        <v>2208.8380098959756</v>
      </c>
      <c r="V25" s="33" t="s">
        <v>45</v>
      </c>
    </row>
    <row r="26" spans="1:22" s="23" customFormat="1" ht="44.25" customHeight="1" x14ac:dyDescent="0.25">
      <c r="A26" s="25">
        <v>5</v>
      </c>
      <c r="B26" s="26" t="s">
        <v>52</v>
      </c>
      <c r="C26" s="25" t="s">
        <v>43</v>
      </c>
      <c r="D26" s="27">
        <v>1972</v>
      </c>
      <c r="E26" s="27" t="s">
        <v>39</v>
      </c>
      <c r="F26" s="25" t="s">
        <v>48</v>
      </c>
      <c r="G26" s="28">
        <v>5</v>
      </c>
      <c r="H26" s="28">
        <v>5</v>
      </c>
      <c r="I26" s="29">
        <v>4453.8999999999996</v>
      </c>
      <c r="J26" s="29">
        <v>4448.1000000000004</v>
      </c>
      <c r="K26" s="29">
        <v>4389.7</v>
      </c>
      <c r="L26" s="30">
        <v>170</v>
      </c>
      <c r="M26" s="31">
        <f t="shared" si="2"/>
        <v>6739721.1099999994</v>
      </c>
      <c r="N26" s="29">
        <v>0</v>
      </c>
      <c r="O26" s="29">
        <v>0</v>
      </c>
      <c r="P26" s="29">
        <v>0</v>
      </c>
      <c r="Q26" s="32">
        <f>'Таблица 3 '!C16</f>
        <v>6739721.1099999994</v>
      </c>
      <c r="R26" s="29">
        <f t="shared" si="3"/>
        <v>6739721.1099999994</v>
      </c>
      <c r="S26" s="29">
        <v>0</v>
      </c>
      <c r="T26" s="29">
        <f t="shared" si="4"/>
        <v>1515.1910051482653</v>
      </c>
      <c r="U26" s="29">
        <f t="shared" si="5"/>
        <v>1515.1910051482653</v>
      </c>
      <c r="V26" s="33" t="s">
        <v>45</v>
      </c>
    </row>
    <row r="27" spans="1:22" s="23" customFormat="1" ht="44.25" customHeight="1" x14ac:dyDescent="0.25">
      <c r="A27" s="25">
        <v>6</v>
      </c>
      <c r="B27" s="26" t="s">
        <v>53</v>
      </c>
      <c r="C27" s="25" t="s">
        <v>43</v>
      </c>
      <c r="D27" s="27">
        <v>1972</v>
      </c>
      <c r="E27" s="27" t="s">
        <v>39</v>
      </c>
      <c r="F27" s="25" t="s">
        <v>48</v>
      </c>
      <c r="G27" s="28">
        <v>5</v>
      </c>
      <c r="H27" s="28">
        <v>5</v>
      </c>
      <c r="I27" s="29">
        <v>4474.8</v>
      </c>
      <c r="J27" s="29">
        <v>4452.1000000000004</v>
      </c>
      <c r="K27" s="29">
        <v>4261.3</v>
      </c>
      <c r="L27" s="30">
        <v>213</v>
      </c>
      <c r="M27" s="31">
        <f t="shared" si="2"/>
        <v>16977503.699999999</v>
      </c>
      <c r="N27" s="29">
        <v>0</v>
      </c>
      <c r="O27" s="29">
        <v>0</v>
      </c>
      <c r="P27" s="29">
        <v>0</v>
      </c>
      <c r="Q27" s="32">
        <f>'Таблица 3 '!C17</f>
        <v>16977503.699999999</v>
      </c>
      <c r="R27" s="29">
        <f t="shared" si="3"/>
        <v>16977503.699999999</v>
      </c>
      <c r="S27" s="29">
        <v>0</v>
      </c>
      <c r="T27" s="29">
        <f t="shared" si="4"/>
        <v>3813.3698030143073</v>
      </c>
      <c r="U27" s="29">
        <f t="shared" si="5"/>
        <v>3813.3698030143073</v>
      </c>
      <c r="V27" s="33" t="s">
        <v>45</v>
      </c>
    </row>
    <row r="28" spans="1:22" s="23" customFormat="1" ht="44.25" customHeight="1" x14ac:dyDescent="0.25">
      <c r="A28" s="25">
        <v>7</v>
      </c>
      <c r="B28" s="26" t="s">
        <v>54</v>
      </c>
      <c r="C28" s="25" t="s">
        <v>43</v>
      </c>
      <c r="D28" s="27">
        <v>1972</v>
      </c>
      <c r="E28" s="27" t="s">
        <v>39</v>
      </c>
      <c r="F28" s="25" t="s">
        <v>48</v>
      </c>
      <c r="G28" s="28">
        <v>5</v>
      </c>
      <c r="H28" s="28">
        <v>4</v>
      </c>
      <c r="I28" s="29">
        <v>3881.6</v>
      </c>
      <c r="J28" s="29">
        <v>3857.9</v>
      </c>
      <c r="K28" s="29">
        <v>3756.7</v>
      </c>
      <c r="L28" s="30">
        <v>189</v>
      </c>
      <c r="M28" s="31">
        <f t="shared" si="2"/>
        <v>15896526.6</v>
      </c>
      <c r="N28" s="29">
        <v>0</v>
      </c>
      <c r="O28" s="29">
        <v>0</v>
      </c>
      <c r="P28" s="29">
        <v>0</v>
      </c>
      <c r="Q28" s="32">
        <f>'Таблица 3 '!C18</f>
        <v>15896526.6</v>
      </c>
      <c r="R28" s="29">
        <f t="shared" si="3"/>
        <v>15896526.6</v>
      </c>
      <c r="S28" s="29">
        <v>0</v>
      </c>
      <c r="T28" s="29">
        <f t="shared" si="4"/>
        <v>4120.5128696959482</v>
      </c>
      <c r="U28" s="29">
        <f t="shared" si="5"/>
        <v>4120.5128696959482</v>
      </c>
      <c r="V28" s="33" t="s">
        <v>45</v>
      </c>
    </row>
    <row r="29" spans="1:22" s="23" customFormat="1" ht="44.25" customHeight="1" x14ac:dyDescent="0.25">
      <c r="A29" s="25">
        <v>8</v>
      </c>
      <c r="B29" s="26" t="s">
        <v>55</v>
      </c>
      <c r="C29" s="25" t="s">
        <v>43</v>
      </c>
      <c r="D29" s="27">
        <v>1971</v>
      </c>
      <c r="E29" s="27" t="s">
        <v>39</v>
      </c>
      <c r="F29" s="25" t="s">
        <v>44</v>
      </c>
      <c r="G29" s="28">
        <v>5</v>
      </c>
      <c r="H29" s="28">
        <v>4</v>
      </c>
      <c r="I29" s="29">
        <v>3387.4</v>
      </c>
      <c r="J29" s="29">
        <v>3357.8</v>
      </c>
      <c r="K29" s="29">
        <v>3209</v>
      </c>
      <c r="L29" s="30">
        <v>159</v>
      </c>
      <c r="M29" s="31">
        <f t="shared" si="2"/>
        <v>16333474.01</v>
      </c>
      <c r="N29" s="29">
        <v>0</v>
      </c>
      <c r="O29" s="29">
        <v>0</v>
      </c>
      <c r="P29" s="29">
        <v>0</v>
      </c>
      <c r="Q29" s="32">
        <f>'Таблица 3 '!C19</f>
        <v>16333474.01</v>
      </c>
      <c r="R29" s="29">
        <f t="shared" si="3"/>
        <v>16333474.01</v>
      </c>
      <c r="S29" s="29">
        <v>0</v>
      </c>
      <c r="T29" s="29">
        <f t="shared" si="4"/>
        <v>4864.3379623563042</v>
      </c>
      <c r="U29" s="29">
        <f t="shared" si="5"/>
        <v>4864.3379623563042</v>
      </c>
      <c r="V29" s="33" t="s">
        <v>45</v>
      </c>
    </row>
    <row r="30" spans="1:22" s="23" customFormat="1" ht="44.25" customHeight="1" x14ac:dyDescent="0.25">
      <c r="A30" s="25">
        <v>9</v>
      </c>
      <c r="B30" s="26" t="s">
        <v>56</v>
      </c>
      <c r="C30" s="25" t="s">
        <v>43</v>
      </c>
      <c r="D30" s="25">
        <v>1986</v>
      </c>
      <c r="E30" s="27" t="s">
        <v>57</v>
      </c>
      <c r="F30" s="25" t="s">
        <v>48</v>
      </c>
      <c r="G30" s="28">
        <v>5</v>
      </c>
      <c r="H30" s="28">
        <v>4</v>
      </c>
      <c r="I30" s="29">
        <v>3262</v>
      </c>
      <c r="J30" s="29">
        <v>2954.9</v>
      </c>
      <c r="K30" s="29">
        <v>2904.9</v>
      </c>
      <c r="L30" s="30">
        <v>140</v>
      </c>
      <c r="M30" s="31">
        <f t="shared" si="2"/>
        <v>391899.61</v>
      </c>
      <c r="N30" s="29">
        <v>0</v>
      </c>
      <c r="O30" s="29">
        <v>0</v>
      </c>
      <c r="P30" s="29">
        <v>0</v>
      </c>
      <c r="Q30" s="32">
        <f>'Таблица 3 '!C20</f>
        <v>391899.61</v>
      </c>
      <c r="R30" s="29">
        <f t="shared" si="3"/>
        <v>391899.61</v>
      </c>
      <c r="S30" s="29">
        <v>0</v>
      </c>
      <c r="T30" s="29">
        <f t="shared" si="4"/>
        <v>132.62702967951537</v>
      </c>
      <c r="U30" s="29">
        <f t="shared" si="5"/>
        <v>132.62702967951537</v>
      </c>
      <c r="V30" s="33" t="s">
        <v>45</v>
      </c>
    </row>
    <row r="31" spans="1:22" s="23" customFormat="1" ht="44.25" customHeight="1" x14ac:dyDescent="0.25">
      <c r="A31" s="25">
        <v>10</v>
      </c>
      <c r="B31" s="26" t="s">
        <v>58</v>
      </c>
      <c r="C31" s="25" t="s">
        <v>43</v>
      </c>
      <c r="D31" s="27">
        <v>1967</v>
      </c>
      <c r="E31" s="27" t="s">
        <v>39</v>
      </c>
      <c r="F31" s="25" t="s">
        <v>48</v>
      </c>
      <c r="G31" s="28">
        <v>5</v>
      </c>
      <c r="H31" s="28">
        <v>3</v>
      </c>
      <c r="I31" s="29">
        <v>2580.8000000000002</v>
      </c>
      <c r="J31" s="29">
        <v>2557.6</v>
      </c>
      <c r="K31" s="29">
        <v>2371.5</v>
      </c>
      <c r="L31" s="30">
        <v>140</v>
      </c>
      <c r="M31" s="31">
        <f t="shared" si="2"/>
        <v>10953603.43</v>
      </c>
      <c r="N31" s="29">
        <v>0</v>
      </c>
      <c r="O31" s="29">
        <v>0</v>
      </c>
      <c r="P31" s="29">
        <v>0</v>
      </c>
      <c r="Q31" s="32">
        <f>'Таблица 3 '!C21</f>
        <v>10953603.43</v>
      </c>
      <c r="R31" s="29">
        <f t="shared" si="3"/>
        <v>10953603.43</v>
      </c>
      <c r="S31" s="29">
        <v>0</v>
      </c>
      <c r="T31" s="29">
        <f t="shared" si="4"/>
        <v>4282.766433375039</v>
      </c>
      <c r="U31" s="29">
        <f t="shared" si="5"/>
        <v>4282.766433375039</v>
      </c>
      <c r="V31" s="33" t="s">
        <v>45</v>
      </c>
    </row>
    <row r="32" spans="1:22" s="23" customFormat="1" ht="44.25" customHeight="1" x14ac:dyDescent="0.25">
      <c r="A32" s="25">
        <v>11</v>
      </c>
      <c r="B32" s="26" t="s">
        <v>59</v>
      </c>
      <c r="C32" s="25" t="s">
        <v>43</v>
      </c>
      <c r="D32" s="25">
        <v>1988</v>
      </c>
      <c r="E32" s="27" t="s">
        <v>60</v>
      </c>
      <c r="F32" s="25" t="s">
        <v>48</v>
      </c>
      <c r="G32" s="28">
        <v>5</v>
      </c>
      <c r="H32" s="28">
        <v>4</v>
      </c>
      <c r="I32" s="29">
        <v>3338.3</v>
      </c>
      <c r="J32" s="29">
        <v>3008</v>
      </c>
      <c r="K32" s="29">
        <v>2870.6</v>
      </c>
      <c r="L32" s="30">
        <v>117</v>
      </c>
      <c r="M32" s="31">
        <f t="shared" si="2"/>
        <v>458721.95</v>
      </c>
      <c r="N32" s="29">
        <v>0</v>
      </c>
      <c r="O32" s="29">
        <v>0</v>
      </c>
      <c r="P32" s="29">
        <v>0</v>
      </c>
      <c r="Q32" s="32">
        <f>'Таблица 3 '!C22</f>
        <v>458721.95</v>
      </c>
      <c r="R32" s="29">
        <f t="shared" si="3"/>
        <v>458721.95</v>
      </c>
      <c r="S32" s="29">
        <v>0</v>
      </c>
      <c r="T32" s="29">
        <f t="shared" si="4"/>
        <v>152.50064827127659</v>
      </c>
      <c r="U32" s="29">
        <f t="shared" si="5"/>
        <v>152.50064827127659</v>
      </c>
      <c r="V32" s="33" t="s">
        <v>45</v>
      </c>
    </row>
    <row r="33" spans="1:22" s="23" customFormat="1" ht="44.25" customHeight="1" x14ac:dyDescent="0.25">
      <c r="A33" s="25">
        <v>12</v>
      </c>
      <c r="B33" s="26" t="s">
        <v>61</v>
      </c>
      <c r="C33" s="25" t="s">
        <v>43</v>
      </c>
      <c r="D33" s="25">
        <v>1989</v>
      </c>
      <c r="E33" s="27" t="s">
        <v>39</v>
      </c>
      <c r="F33" s="25" t="s">
        <v>48</v>
      </c>
      <c r="G33" s="28">
        <v>5</v>
      </c>
      <c r="H33" s="28">
        <v>6</v>
      </c>
      <c r="I33" s="29">
        <v>5150.22</v>
      </c>
      <c r="J33" s="29">
        <v>4629</v>
      </c>
      <c r="K33" s="29">
        <v>4629</v>
      </c>
      <c r="L33" s="30">
        <v>202</v>
      </c>
      <c r="M33" s="31">
        <f t="shared" si="2"/>
        <v>13855159.6</v>
      </c>
      <c r="N33" s="29">
        <v>0</v>
      </c>
      <c r="O33" s="29">
        <v>0</v>
      </c>
      <c r="P33" s="29">
        <v>0</v>
      </c>
      <c r="Q33" s="32">
        <f>'Таблица 3 '!C23</f>
        <v>13855159.6</v>
      </c>
      <c r="R33" s="29">
        <f t="shared" si="3"/>
        <v>13855159.6</v>
      </c>
      <c r="S33" s="29">
        <v>0</v>
      </c>
      <c r="T33" s="29">
        <f t="shared" si="4"/>
        <v>2993.1215381291854</v>
      </c>
      <c r="U33" s="29">
        <f t="shared" si="5"/>
        <v>2993.1215381291854</v>
      </c>
      <c r="V33" s="33" t="s">
        <v>45</v>
      </c>
    </row>
    <row r="34" spans="1:22" s="23" customFormat="1" ht="44.25" customHeight="1" x14ac:dyDescent="0.25">
      <c r="A34" s="25">
        <v>13</v>
      </c>
      <c r="B34" s="26" t="s">
        <v>62</v>
      </c>
      <c r="C34" s="25" t="s">
        <v>43</v>
      </c>
      <c r="D34" s="25">
        <v>1978</v>
      </c>
      <c r="E34" s="27" t="s">
        <v>63</v>
      </c>
      <c r="F34" s="25" t="s">
        <v>48</v>
      </c>
      <c r="G34" s="28">
        <v>5</v>
      </c>
      <c r="H34" s="28">
        <v>5</v>
      </c>
      <c r="I34" s="29">
        <v>3582.4</v>
      </c>
      <c r="J34" s="29">
        <v>3595.6</v>
      </c>
      <c r="K34" s="29">
        <v>3413.1</v>
      </c>
      <c r="L34" s="30">
        <v>190</v>
      </c>
      <c r="M34" s="31">
        <f t="shared" si="2"/>
        <v>3655628.26</v>
      </c>
      <c r="N34" s="29">
        <v>0</v>
      </c>
      <c r="O34" s="29">
        <v>0</v>
      </c>
      <c r="P34" s="29">
        <v>0</v>
      </c>
      <c r="Q34" s="32">
        <f>'Таблица 3 '!C24</f>
        <v>3655628.26</v>
      </c>
      <c r="R34" s="29">
        <f t="shared" si="3"/>
        <v>3655628.26</v>
      </c>
      <c r="S34" s="29">
        <v>0</v>
      </c>
      <c r="T34" s="29">
        <f t="shared" si="4"/>
        <v>1016.6949215708087</v>
      </c>
      <c r="U34" s="29">
        <f t="shared" si="5"/>
        <v>1016.6949215708087</v>
      </c>
      <c r="V34" s="33" t="s">
        <v>45</v>
      </c>
    </row>
    <row r="35" spans="1:22" s="23" customFormat="1" ht="44.25" customHeight="1" x14ac:dyDescent="0.25">
      <c r="A35" s="25">
        <v>14</v>
      </c>
      <c r="B35" s="26" t="s">
        <v>64</v>
      </c>
      <c r="C35" s="25" t="s">
        <v>43</v>
      </c>
      <c r="D35" s="25">
        <v>1976</v>
      </c>
      <c r="E35" s="27" t="s">
        <v>39</v>
      </c>
      <c r="F35" s="25" t="s">
        <v>48</v>
      </c>
      <c r="G35" s="28">
        <v>5</v>
      </c>
      <c r="H35" s="28">
        <v>6</v>
      </c>
      <c r="I35" s="32">
        <v>4485.8999999999996</v>
      </c>
      <c r="J35" s="32">
        <v>4380.2</v>
      </c>
      <c r="K35" s="32">
        <v>4278</v>
      </c>
      <c r="L35" s="35">
        <v>204</v>
      </c>
      <c r="M35" s="31">
        <f t="shared" si="2"/>
        <v>4547262.62</v>
      </c>
      <c r="N35" s="29">
        <v>0</v>
      </c>
      <c r="O35" s="29">
        <v>0</v>
      </c>
      <c r="P35" s="29">
        <v>0</v>
      </c>
      <c r="Q35" s="32">
        <f>'Таблица 3 '!C25</f>
        <v>4547262.62</v>
      </c>
      <c r="R35" s="29">
        <f t="shared" si="3"/>
        <v>4547262.62</v>
      </c>
      <c r="S35" s="32">
        <v>0</v>
      </c>
      <c r="T35" s="29">
        <f t="shared" si="4"/>
        <v>1038.1404091137392</v>
      </c>
      <c r="U35" s="29">
        <f t="shared" si="5"/>
        <v>1038.1404091137392</v>
      </c>
      <c r="V35" s="33" t="s">
        <v>45</v>
      </c>
    </row>
    <row r="36" spans="1:22" s="23" customFormat="1" ht="44.25" customHeight="1" x14ac:dyDescent="0.25">
      <c r="A36" s="25">
        <v>15</v>
      </c>
      <c r="B36" s="26" t="s">
        <v>65</v>
      </c>
      <c r="C36" s="25" t="s">
        <v>43</v>
      </c>
      <c r="D36" s="27">
        <v>1979</v>
      </c>
      <c r="E36" s="27" t="s">
        <v>39</v>
      </c>
      <c r="F36" s="25" t="s">
        <v>48</v>
      </c>
      <c r="G36" s="28">
        <v>5</v>
      </c>
      <c r="H36" s="28">
        <v>7</v>
      </c>
      <c r="I36" s="29">
        <v>5712.5</v>
      </c>
      <c r="J36" s="29">
        <v>5435.3</v>
      </c>
      <c r="K36" s="29">
        <v>5435.3</v>
      </c>
      <c r="L36" s="30">
        <v>97</v>
      </c>
      <c r="M36" s="31">
        <f t="shared" si="2"/>
        <v>9757581</v>
      </c>
      <c r="N36" s="29">
        <v>0</v>
      </c>
      <c r="O36" s="29">
        <v>0</v>
      </c>
      <c r="P36" s="29">
        <v>0</v>
      </c>
      <c r="Q36" s="32">
        <f>'Таблица 3 '!C26</f>
        <v>9757581</v>
      </c>
      <c r="R36" s="29">
        <f t="shared" si="3"/>
        <v>9757581</v>
      </c>
      <c r="S36" s="29">
        <v>0</v>
      </c>
      <c r="T36" s="29">
        <f t="shared" si="4"/>
        <v>1795.2239986753261</v>
      </c>
      <c r="U36" s="29">
        <f t="shared" si="5"/>
        <v>1795.2239986753261</v>
      </c>
      <c r="V36" s="33" t="s">
        <v>45</v>
      </c>
    </row>
    <row r="37" spans="1:22" s="23" customFormat="1" ht="44.25" customHeight="1" x14ac:dyDescent="0.25">
      <c r="A37" s="25">
        <v>16</v>
      </c>
      <c r="B37" s="26" t="s">
        <v>66</v>
      </c>
      <c r="C37" s="25" t="s">
        <v>43</v>
      </c>
      <c r="D37" s="25">
        <v>1988</v>
      </c>
      <c r="E37" s="27" t="s">
        <v>47</v>
      </c>
      <c r="F37" s="25" t="s">
        <v>48</v>
      </c>
      <c r="G37" s="28">
        <v>5</v>
      </c>
      <c r="H37" s="28">
        <v>6</v>
      </c>
      <c r="I37" s="32">
        <v>4502.1000000000004</v>
      </c>
      <c r="J37" s="32">
        <v>4488.3</v>
      </c>
      <c r="K37" s="32">
        <v>4204.2</v>
      </c>
      <c r="L37" s="35">
        <v>220</v>
      </c>
      <c r="M37" s="31">
        <f t="shared" si="2"/>
        <v>4739370.8499999996</v>
      </c>
      <c r="N37" s="29">
        <v>0</v>
      </c>
      <c r="O37" s="29">
        <v>0</v>
      </c>
      <c r="P37" s="29">
        <v>0</v>
      </c>
      <c r="Q37" s="32">
        <f>'Таблица 3 '!C27</f>
        <v>4739370.8499999996</v>
      </c>
      <c r="R37" s="29">
        <f t="shared" si="3"/>
        <v>4739370.8499999996</v>
      </c>
      <c r="S37" s="32">
        <v>0</v>
      </c>
      <c r="T37" s="29">
        <f t="shared" si="4"/>
        <v>1055.9389635273933</v>
      </c>
      <c r="U37" s="29">
        <f t="shared" si="5"/>
        <v>1055.9389635273933</v>
      </c>
      <c r="V37" s="33" t="s">
        <v>45</v>
      </c>
    </row>
    <row r="38" spans="1:22" s="23" customFormat="1" ht="44.25" customHeight="1" x14ac:dyDescent="0.25">
      <c r="A38" s="25">
        <v>17</v>
      </c>
      <c r="B38" s="26" t="s">
        <v>67</v>
      </c>
      <c r="C38" s="25" t="s">
        <v>43</v>
      </c>
      <c r="D38" s="27">
        <v>1985</v>
      </c>
      <c r="E38" s="27" t="s">
        <v>39</v>
      </c>
      <c r="F38" s="25" t="s">
        <v>44</v>
      </c>
      <c r="G38" s="28">
        <v>5</v>
      </c>
      <c r="H38" s="28">
        <v>4</v>
      </c>
      <c r="I38" s="29">
        <v>3408.1</v>
      </c>
      <c r="J38" s="29">
        <v>3357.4</v>
      </c>
      <c r="K38" s="29">
        <v>2716.7</v>
      </c>
      <c r="L38" s="30">
        <v>172</v>
      </c>
      <c r="M38" s="31">
        <f t="shared" si="2"/>
        <v>2859484.8</v>
      </c>
      <c r="N38" s="29">
        <v>0</v>
      </c>
      <c r="O38" s="29">
        <v>0</v>
      </c>
      <c r="P38" s="29">
        <v>0</v>
      </c>
      <c r="Q38" s="32">
        <f>'Таблица 3 '!C28</f>
        <v>2859484.8</v>
      </c>
      <c r="R38" s="29">
        <f t="shared" si="3"/>
        <v>2859484.8</v>
      </c>
      <c r="S38" s="29">
        <v>0</v>
      </c>
      <c r="T38" s="29">
        <f t="shared" si="4"/>
        <v>851.6961934830523</v>
      </c>
      <c r="U38" s="29">
        <f t="shared" si="5"/>
        <v>851.6961934830523</v>
      </c>
      <c r="V38" s="33" t="s">
        <v>45</v>
      </c>
    </row>
    <row r="39" spans="1:22" s="23" customFormat="1" ht="44.25" customHeight="1" x14ac:dyDescent="0.25">
      <c r="A39" s="25">
        <v>18</v>
      </c>
      <c r="B39" s="36" t="s">
        <v>68</v>
      </c>
      <c r="C39" s="25" t="s">
        <v>43</v>
      </c>
      <c r="D39" s="27">
        <v>2007</v>
      </c>
      <c r="E39" s="27" t="s">
        <v>39</v>
      </c>
      <c r="F39" s="25" t="s">
        <v>44</v>
      </c>
      <c r="G39" s="28">
        <v>5</v>
      </c>
      <c r="H39" s="28">
        <v>5</v>
      </c>
      <c r="I39" s="29">
        <v>4870.8999999999996</v>
      </c>
      <c r="J39" s="29">
        <v>3627.3</v>
      </c>
      <c r="K39" s="29">
        <v>329.5</v>
      </c>
      <c r="L39" s="30">
        <v>210</v>
      </c>
      <c r="M39" s="31">
        <f t="shared" si="2"/>
        <v>5306725.6099999994</v>
      </c>
      <c r="N39" s="29">
        <v>0</v>
      </c>
      <c r="O39" s="29">
        <v>0</v>
      </c>
      <c r="P39" s="29">
        <v>0</v>
      </c>
      <c r="Q39" s="32">
        <f>'Таблица 3 '!C29</f>
        <v>5306725.6099999994</v>
      </c>
      <c r="R39" s="29">
        <f t="shared" si="3"/>
        <v>5306725.6099999994</v>
      </c>
      <c r="S39" s="29">
        <v>0</v>
      </c>
      <c r="T39" s="29">
        <f t="shared" si="4"/>
        <v>1462.9960604306232</v>
      </c>
      <c r="U39" s="29">
        <f t="shared" si="5"/>
        <v>1462.9960604306232</v>
      </c>
      <c r="V39" s="33" t="s">
        <v>45</v>
      </c>
    </row>
    <row r="40" spans="1:22" s="23" customFormat="1" ht="44.25" customHeight="1" x14ac:dyDescent="0.25">
      <c r="A40" s="25">
        <v>19</v>
      </c>
      <c r="B40" s="26" t="s">
        <v>69</v>
      </c>
      <c r="C40" s="25" t="s">
        <v>43</v>
      </c>
      <c r="D40" s="27">
        <v>1994</v>
      </c>
      <c r="E40" s="27" t="s">
        <v>70</v>
      </c>
      <c r="F40" s="25" t="s">
        <v>48</v>
      </c>
      <c r="G40" s="28">
        <v>5</v>
      </c>
      <c r="H40" s="28">
        <v>3</v>
      </c>
      <c r="I40" s="29">
        <v>5002.8</v>
      </c>
      <c r="J40" s="29">
        <v>3582.3</v>
      </c>
      <c r="K40" s="29">
        <v>3430.8</v>
      </c>
      <c r="L40" s="30">
        <v>145</v>
      </c>
      <c r="M40" s="31">
        <f t="shared" si="2"/>
        <v>2477673.84</v>
      </c>
      <c r="N40" s="29">
        <v>0</v>
      </c>
      <c r="O40" s="29">
        <v>0</v>
      </c>
      <c r="P40" s="29">
        <v>0</v>
      </c>
      <c r="Q40" s="32">
        <f>'Таблица 3 '!C30</f>
        <v>2477673.84</v>
      </c>
      <c r="R40" s="29">
        <f t="shared" si="3"/>
        <v>2477673.84</v>
      </c>
      <c r="S40" s="29">
        <v>0</v>
      </c>
      <c r="T40" s="29">
        <f t="shared" si="4"/>
        <v>691.64331295536374</v>
      </c>
      <c r="U40" s="29">
        <f t="shared" si="5"/>
        <v>691.64331295536374</v>
      </c>
      <c r="V40" s="33" t="s">
        <v>45</v>
      </c>
    </row>
    <row r="41" spans="1:22" s="23" customFormat="1" ht="44.25" customHeight="1" x14ac:dyDescent="0.25">
      <c r="A41" s="25">
        <v>20</v>
      </c>
      <c r="B41" s="26" t="s">
        <v>71</v>
      </c>
      <c r="C41" s="25" t="s">
        <v>43</v>
      </c>
      <c r="D41" s="27">
        <v>1996</v>
      </c>
      <c r="E41" s="27" t="s">
        <v>47</v>
      </c>
      <c r="F41" s="25" t="s">
        <v>48</v>
      </c>
      <c r="G41" s="28">
        <v>5</v>
      </c>
      <c r="H41" s="28">
        <v>2</v>
      </c>
      <c r="I41" s="29">
        <v>3235.8</v>
      </c>
      <c r="J41" s="29">
        <v>2361.9</v>
      </c>
      <c r="K41" s="29">
        <v>2031</v>
      </c>
      <c r="L41" s="30">
        <v>89</v>
      </c>
      <c r="M41" s="31">
        <f t="shared" si="2"/>
        <v>2207923.4299999997</v>
      </c>
      <c r="N41" s="29">
        <v>0</v>
      </c>
      <c r="O41" s="29">
        <v>0</v>
      </c>
      <c r="P41" s="29">
        <v>0</v>
      </c>
      <c r="Q41" s="32">
        <f>'Таблица 3 '!C31</f>
        <v>2207923.4299999997</v>
      </c>
      <c r="R41" s="29">
        <f t="shared" si="3"/>
        <v>2207923.4299999997</v>
      </c>
      <c r="S41" s="29">
        <v>0</v>
      </c>
      <c r="T41" s="29">
        <f t="shared" si="4"/>
        <v>934.80817562132165</v>
      </c>
      <c r="U41" s="29">
        <f t="shared" si="5"/>
        <v>934.80817562132165</v>
      </c>
      <c r="V41" s="33" t="s">
        <v>45</v>
      </c>
    </row>
    <row r="42" spans="1:22" s="23" customFormat="1" ht="44.25" customHeight="1" x14ac:dyDescent="0.25">
      <c r="A42" s="25">
        <v>21</v>
      </c>
      <c r="B42" s="26" t="s">
        <v>72</v>
      </c>
      <c r="C42" s="25" t="s">
        <v>43</v>
      </c>
      <c r="D42" s="27">
        <v>2000</v>
      </c>
      <c r="E42" s="27" t="s">
        <v>57</v>
      </c>
      <c r="F42" s="25" t="s">
        <v>48</v>
      </c>
      <c r="G42" s="28">
        <v>5</v>
      </c>
      <c r="H42" s="28">
        <v>4</v>
      </c>
      <c r="I42" s="29">
        <v>6620.5</v>
      </c>
      <c r="J42" s="29">
        <v>5145.1000000000004</v>
      </c>
      <c r="K42" s="29">
        <v>4205.3999999999996</v>
      </c>
      <c r="L42" s="30">
        <v>197</v>
      </c>
      <c r="M42" s="31">
        <f t="shared" si="2"/>
        <v>21520750.23</v>
      </c>
      <c r="N42" s="29">
        <v>0</v>
      </c>
      <c r="O42" s="29">
        <v>0</v>
      </c>
      <c r="P42" s="29">
        <v>0</v>
      </c>
      <c r="Q42" s="32">
        <f>'Таблица 3 '!C32</f>
        <v>21520750.23</v>
      </c>
      <c r="R42" s="29">
        <f t="shared" si="3"/>
        <v>21520750.23</v>
      </c>
      <c r="S42" s="29">
        <v>0</v>
      </c>
      <c r="T42" s="29">
        <f t="shared" si="4"/>
        <v>4182.7661716973425</v>
      </c>
      <c r="U42" s="29">
        <f t="shared" si="5"/>
        <v>4182.7661716973425</v>
      </c>
      <c r="V42" s="33" t="s">
        <v>45</v>
      </c>
    </row>
    <row r="43" spans="1:22" s="23" customFormat="1" ht="44.25" customHeight="1" x14ac:dyDescent="0.25">
      <c r="A43" s="25">
        <v>22</v>
      </c>
      <c r="B43" s="26" t="s">
        <v>73</v>
      </c>
      <c r="C43" s="25" t="s">
        <v>43</v>
      </c>
      <c r="D43" s="25">
        <v>1989</v>
      </c>
      <c r="E43" s="27" t="s">
        <v>70</v>
      </c>
      <c r="F43" s="25" t="s">
        <v>48</v>
      </c>
      <c r="G43" s="28">
        <v>5</v>
      </c>
      <c r="H43" s="28">
        <v>4</v>
      </c>
      <c r="I43" s="29">
        <v>2903.3</v>
      </c>
      <c r="J43" s="29">
        <v>2900.5</v>
      </c>
      <c r="K43" s="29">
        <v>2235.8000000000002</v>
      </c>
      <c r="L43" s="30">
        <v>67</v>
      </c>
      <c r="M43" s="31">
        <f t="shared" si="2"/>
        <v>2497643.7799999998</v>
      </c>
      <c r="N43" s="29">
        <v>0</v>
      </c>
      <c r="O43" s="29">
        <v>0</v>
      </c>
      <c r="P43" s="29">
        <v>0</v>
      </c>
      <c r="Q43" s="32">
        <f>'Таблица 3 '!C33</f>
        <v>2497643.7799999998</v>
      </c>
      <c r="R43" s="29">
        <f t="shared" si="3"/>
        <v>2497643.7799999998</v>
      </c>
      <c r="S43" s="29">
        <v>0</v>
      </c>
      <c r="T43" s="29">
        <f t="shared" si="4"/>
        <v>861.10800896397166</v>
      </c>
      <c r="U43" s="29">
        <f t="shared" si="5"/>
        <v>861.10800896397166</v>
      </c>
      <c r="V43" s="33" t="s">
        <v>45</v>
      </c>
    </row>
    <row r="44" spans="1:22" s="23" customFormat="1" ht="44.25" customHeight="1" x14ac:dyDescent="0.25">
      <c r="A44" s="25">
        <v>23</v>
      </c>
      <c r="B44" s="26" t="s">
        <v>74</v>
      </c>
      <c r="C44" s="25" t="s">
        <v>43</v>
      </c>
      <c r="D44" s="25">
        <v>1978</v>
      </c>
      <c r="E44" s="27" t="s">
        <v>39</v>
      </c>
      <c r="F44" s="25" t="s">
        <v>48</v>
      </c>
      <c r="G44" s="28">
        <v>5</v>
      </c>
      <c r="H44" s="28">
        <v>4</v>
      </c>
      <c r="I44" s="29">
        <v>4751.6000000000004</v>
      </c>
      <c r="J44" s="29">
        <v>3671.1</v>
      </c>
      <c r="K44" s="29">
        <v>2923.5</v>
      </c>
      <c r="L44" s="30">
        <v>81</v>
      </c>
      <c r="M44" s="31">
        <f t="shared" si="2"/>
        <v>210912.43</v>
      </c>
      <c r="N44" s="29">
        <v>0</v>
      </c>
      <c r="O44" s="29">
        <v>0</v>
      </c>
      <c r="P44" s="29">
        <v>0</v>
      </c>
      <c r="Q44" s="32">
        <f>'Таблица 3 '!C34</f>
        <v>210912.43</v>
      </c>
      <c r="R44" s="29">
        <f t="shared" si="3"/>
        <v>210912.43</v>
      </c>
      <c r="S44" s="29">
        <v>0</v>
      </c>
      <c r="T44" s="29">
        <f t="shared" si="4"/>
        <v>57.452106997902533</v>
      </c>
      <c r="U44" s="29">
        <f t="shared" si="5"/>
        <v>57.452106997902533</v>
      </c>
      <c r="V44" s="33" t="s">
        <v>45</v>
      </c>
    </row>
    <row r="45" spans="1:22" s="23" customFormat="1" ht="44.25" customHeight="1" x14ac:dyDescent="0.25">
      <c r="A45" s="25">
        <v>24</v>
      </c>
      <c r="B45" s="26" t="s">
        <v>75</v>
      </c>
      <c r="C45" s="25" t="s">
        <v>43</v>
      </c>
      <c r="D45" s="27">
        <v>1974</v>
      </c>
      <c r="E45" s="27" t="s">
        <v>39</v>
      </c>
      <c r="F45" s="25" t="s">
        <v>44</v>
      </c>
      <c r="G45" s="28">
        <v>3</v>
      </c>
      <c r="H45" s="28">
        <v>2</v>
      </c>
      <c r="I45" s="29">
        <v>1116.4000000000001</v>
      </c>
      <c r="J45" s="29">
        <v>1111.9000000000001</v>
      </c>
      <c r="K45" s="29">
        <v>1070.2</v>
      </c>
      <c r="L45" s="30">
        <v>60</v>
      </c>
      <c r="M45" s="31">
        <f t="shared" si="2"/>
        <v>257335.74</v>
      </c>
      <c r="N45" s="29">
        <v>0</v>
      </c>
      <c r="O45" s="29">
        <v>0</v>
      </c>
      <c r="P45" s="29">
        <v>0</v>
      </c>
      <c r="Q45" s="32">
        <f>'Таблица 3 '!C35</f>
        <v>257335.74</v>
      </c>
      <c r="R45" s="29">
        <f t="shared" si="3"/>
        <v>257335.74</v>
      </c>
      <c r="S45" s="29">
        <v>0</v>
      </c>
      <c r="T45" s="29">
        <f t="shared" si="4"/>
        <v>231.43784512995771</v>
      </c>
      <c r="U45" s="29">
        <f t="shared" si="5"/>
        <v>231.43784512995771</v>
      </c>
      <c r="V45" s="33" t="s">
        <v>45</v>
      </c>
    </row>
    <row r="46" spans="1:22" s="23" customFormat="1" ht="44.25" customHeight="1" x14ac:dyDescent="0.25">
      <c r="A46" s="25">
        <v>25</v>
      </c>
      <c r="B46" s="26" t="s">
        <v>76</v>
      </c>
      <c r="C46" s="25" t="s">
        <v>43</v>
      </c>
      <c r="D46" s="25">
        <v>1994</v>
      </c>
      <c r="E46" s="27" t="s">
        <v>39</v>
      </c>
      <c r="F46" s="25" t="s">
        <v>77</v>
      </c>
      <c r="G46" s="28">
        <v>3</v>
      </c>
      <c r="H46" s="28">
        <v>1</v>
      </c>
      <c r="I46" s="32">
        <v>1295.2</v>
      </c>
      <c r="J46" s="32">
        <v>1193</v>
      </c>
      <c r="K46" s="32">
        <v>1193</v>
      </c>
      <c r="L46" s="35">
        <v>54</v>
      </c>
      <c r="M46" s="31">
        <f t="shared" si="2"/>
        <v>260604.32</v>
      </c>
      <c r="N46" s="29">
        <v>0</v>
      </c>
      <c r="O46" s="29">
        <v>0</v>
      </c>
      <c r="P46" s="29">
        <v>0</v>
      </c>
      <c r="Q46" s="32">
        <f>'Таблица 3 '!C36</f>
        <v>260604.32</v>
      </c>
      <c r="R46" s="29">
        <f t="shared" si="3"/>
        <v>260604.32</v>
      </c>
      <c r="S46" s="32">
        <v>0</v>
      </c>
      <c r="T46" s="29">
        <f t="shared" si="4"/>
        <v>218.44452640402346</v>
      </c>
      <c r="U46" s="29">
        <f t="shared" si="5"/>
        <v>218.44452640402346</v>
      </c>
      <c r="V46" s="33" t="s">
        <v>45</v>
      </c>
    </row>
    <row r="47" spans="1:22" s="23" customFormat="1" ht="44.25" customHeight="1" x14ac:dyDescent="0.25">
      <c r="A47" s="25">
        <v>26</v>
      </c>
      <c r="B47" s="26" t="s">
        <v>78</v>
      </c>
      <c r="C47" s="25" t="s">
        <v>43</v>
      </c>
      <c r="D47" s="27" t="s">
        <v>79</v>
      </c>
      <c r="E47" s="27" t="s">
        <v>39</v>
      </c>
      <c r="F47" s="25" t="s">
        <v>44</v>
      </c>
      <c r="G47" s="28">
        <v>3</v>
      </c>
      <c r="H47" s="28">
        <v>2</v>
      </c>
      <c r="I47" s="29">
        <v>1954.7</v>
      </c>
      <c r="J47" s="29">
        <v>1295.5</v>
      </c>
      <c r="K47" s="29">
        <v>1295.5</v>
      </c>
      <c r="L47" s="30">
        <v>23</v>
      </c>
      <c r="M47" s="31">
        <f t="shared" si="2"/>
        <v>254122.85</v>
      </c>
      <c r="N47" s="29">
        <v>0</v>
      </c>
      <c r="O47" s="29">
        <v>0</v>
      </c>
      <c r="P47" s="29">
        <v>0</v>
      </c>
      <c r="Q47" s="32">
        <f>'Таблица 3 '!C37</f>
        <v>254122.85</v>
      </c>
      <c r="R47" s="29">
        <f t="shared" si="3"/>
        <v>254122.85</v>
      </c>
      <c r="S47" s="29">
        <v>0</v>
      </c>
      <c r="T47" s="29">
        <f t="shared" si="4"/>
        <v>196.1581242763412</v>
      </c>
      <c r="U47" s="29">
        <f t="shared" si="5"/>
        <v>196.1581242763412</v>
      </c>
      <c r="V47" s="33" t="s">
        <v>45</v>
      </c>
    </row>
    <row r="48" spans="1:22" s="23" customFormat="1" ht="44.25" customHeight="1" x14ac:dyDescent="0.25">
      <c r="A48" s="25">
        <v>27</v>
      </c>
      <c r="B48" s="26" t="s">
        <v>80</v>
      </c>
      <c r="C48" s="25" t="s">
        <v>43</v>
      </c>
      <c r="D48" s="27">
        <v>1989</v>
      </c>
      <c r="E48" s="27" t="s">
        <v>39</v>
      </c>
      <c r="F48" s="25" t="s">
        <v>48</v>
      </c>
      <c r="G48" s="28">
        <v>5</v>
      </c>
      <c r="H48" s="28">
        <v>4</v>
      </c>
      <c r="I48" s="29">
        <v>3947.2</v>
      </c>
      <c r="J48" s="29">
        <v>2813.4</v>
      </c>
      <c r="K48" s="29">
        <v>1942.5</v>
      </c>
      <c r="L48" s="30">
        <v>133</v>
      </c>
      <c r="M48" s="31">
        <f t="shared" si="2"/>
        <v>9222817.9900000002</v>
      </c>
      <c r="N48" s="29">
        <v>0</v>
      </c>
      <c r="O48" s="29">
        <v>0</v>
      </c>
      <c r="P48" s="29">
        <v>0</v>
      </c>
      <c r="Q48" s="32">
        <f>'Таблица 3 '!C38</f>
        <v>9222817.9900000002</v>
      </c>
      <c r="R48" s="29">
        <f t="shared" si="3"/>
        <v>9222817.9900000002</v>
      </c>
      <c r="S48" s="29">
        <v>0</v>
      </c>
      <c r="T48" s="29">
        <f t="shared" si="4"/>
        <v>3278.1751581716071</v>
      </c>
      <c r="U48" s="29">
        <f t="shared" si="5"/>
        <v>3278.1751581716071</v>
      </c>
      <c r="V48" s="33" t="s">
        <v>45</v>
      </c>
    </row>
    <row r="49" spans="1:22" s="23" customFormat="1" ht="44.25" customHeight="1" x14ac:dyDescent="0.25">
      <c r="A49" s="25">
        <v>28</v>
      </c>
      <c r="B49" s="26" t="s">
        <v>81</v>
      </c>
      <c r="C49" s="25" t="s">
        <v>43</v>
      </c>
      <c r="D49" s="27">
        <v>1990</v>
      </c>
      <c r="E49" s="27" t="s">
        <v>39</v>
      </c>
      <c r="F49" s="25" t="s">
        <v>48</v>
      </c>
      <c r="G49" s="28">
        <v>5</v>
      </c>
      <c r="H49" s="28">
        <v>4</v>
      </c>
      <c r="I49" s="29">
        <v>3897.4</v>
      </c>
      <c r="J49" s="29">
        <v>2832.3</v>
      </c>
      <c r="K49" s="29">
        <v>2023.8</v>
      </c>
      <c r="L49" s="30">
        <v>129</v>
      </c>
      <c r="M49" s="31">
        <f t="shared" si="2"/>
        <v>15219489.770000001</v>
      </c>
      <c r="N49" s="29">
        <v>0</v>
      </c>
      <c r="O49" s="29">
        <v>0</v>
      </c>
      <c r="P49" s="29">
        <v>0</v>
      </c>
      <c r="Q49" s="32">
        <f>'Таблица 3 '!C39</f>
        <v>15219489.770000001</v>
      </c>
      <c r="R49" s="29">
        <f t="shared" si="3"/>
        <v>15219489.770000001</v>
      </c>
      <c r="S49" s="29">
        <v>0</v>
      </c>
      <c r="T49" s="29">
        <f t="shared" si="4"/>
        <v>5373.544387953254</v>
      </c>
      <c r="U49" s="29">
        <f t="shared" si="5"/>
        <v>5373.544387953254</v>
      </c>
      <c r="V49" s="33" t="s">
        <v>45</v>
      </c>
    </row>
    <row r="50" spans="1:22" s="23" customFormat="1" ht="44.25" customHeight="1" x14ac:dyDescent="0.25">
      <c r="A50" s="25">
        <v>29</v>
      </c>
      <c r="B50" s="37" t="s">
        <v>82</v>
      </c>
      <c r="C50" s="25" t="s">
        <v>43</v>
      </c>
      <c r="D50" s="27" t="s">
        <v>83</v>
      </c>
      <c r="E50" s="27" t="s">
        <v>39</v>
      </c>
      <c r="F50" s="25" t="s">
        <v>44</v>
      </c>
      <c r="G50" s="28">
        <v>9</v>
      </c>
      <c r="H50" s="28">
        <v>1</v>
      </c>
      <c r="I50" s="29">
        <v>2485.5</v>
      </c>
      <c r="J50" s="29">
        <v>2402.1</v>
      </c>
      <c r="K50" s="29">
        <v>2198.9</v>
      </c>
      <c r="L50" s="30">
        <v>98</v>
      </c>
      <c r="M50" s="31">
        <f t="shared" si="2"/>
        <v>2438379.8000000003</v>
      </c>
      <c r="N50" s="29">
        <v>0</v>
      </c>
      <c r="O50" s="29">
        <v>0</v>
      </c>
      <c r="P50" s="29">
        <v>0</v>
      </c>
      <c r="Q50" s="32">
        <f>'Таблица 3 '!C40</f>
        <v>2438379.8000000003</v>
      </c>
      <c r="R50" s="29">
        <f t="shared" si="3"/>
        <v>2438379.8000000003</v>
      </c>
      <c r="S50" s="29">
        <v>0</v>
      </c>
      <c r="T50" s="29">
        <f t="shared" si="4"/>
        <v>1015.1033678864328</v>
      </c>
      <c r="U50" s="29">
        <f t="shared" si="5"/>
        <v>1015.1033678864328</v>
      </c>
      <c r="V50" s="33" t="s">
        <v>45</v>
      </c>
    </row>
    <row r="51" spans="1:22" s="23" customFormat="1" ht="44.25" customHeight="1" x14ac:dyDescent="0.25">
      <c r="A51" s="25">
        <v>30</v>
      </c>
      <c r="B51" s="37" t="s">
        <v>84</v>
      </c>
      <c r="C51" s="25" t="s">
        <v>85</v>
      </c>
      <c r="D51" s="27" t="s">
        <v>86</v>
      </c>
      <c r="E51" s="27" t="s">
        <v>39</v>
      </c>
      <c r="F51" s="25" t="s">
        <v>48</v>
      </c>
      <c r="G51" s="28">
        <v>5</v>
      </c>
      <c r="H51" s="28">
        <v>9</v>
      </c>
      <c r="I51" s="29">
        <v>6714.1</v>
      </c>
      <c r="J51" s="29">
        <v>6723</v>
      </c>
      <c r="K51" s="29">
        <v>6505.9</v>
      </c>
      <c r="L51" s="30">
        <v>285</v>
      </c>
      <c r="M51" s="31">
        <f t="shared" si="2"/>
        <v>2126097.61</v>
      </c>
      <c r="N51" s="29">
        <v>0</v>
      </c>
      <c r="O51" s="29">
        <v>0</v>
      </c>
      <c r="P51" s="29">
        <v>0</v>
      </c>
      <c r="Q51" s="32">
        <f>'Таблица 3 '!C41</f>
        <v>2126097.61</v>
      </c>
      <c r="R51" s="29">
        <f t="shared" si="3"/>
        <v>2126097.61</v>
      </c>
      <c r="S51" s="29">
        <v>0</v>
      </c>
      <c r="T51" s="29">
        <f t="shared" si="4"/>
        <v>316.2423932768109</v>
      </c>
      <c r="U51" s="29">
        <f t="shared" si="5"/>
        <v>316.2423932768109</v>
      </c>
      <c r="V51" s="33" t="s">
        <v>45</v>
      </c>
    </row>
    <row r="52" spans="1:22" s="23" customFormat="1" ht="44.25" customHeight="1" x14ac:dyDescent="0.25">
      <c r="A52" s="25">
        <v>31</v>
      </c>
      <c r="B52" s="37" t="s">
        <v>87</v>
      </c>
      <c r="C52" s="25" t="s">
        <v>43</v>
      </c>
      <c r="D52" s="27" t="s">
        <v>88</v>
      </c>
      <c r="E52" s="27" t="s">
        <v>47</v>
      </c>
      <c r="F52" s="25" t="s">
        <v>48</v>
      </c>
      <c r="G52" s="28">
        <v>10</v>
      </c>
      <c r="H52" s="28">
        <v>6</v>
      </c>
      <c r="I52" s="29">
        <v>19831</v>
      </c>
      <c r="J52" s="29">
        <v>14546.1</v>
      </c>
      <c r="K52" s="29">
        <v>14546.1</v>
      </c>
      <c r="L52" s="30">
        <v>605</v>
      </c>
      <c r="M52" s="31">
        <f t="shared" si="2"/>
        <v>12828640.93</v>
      </c>
      <c r="N52" s="29">
        <v>0</v>
      </c>
      <c r="O52" s="29">
        <v>0</v>
      </c>
      <c r="P52" s="29">
        <v>0</v>
      </c>
      <c r="Q52" s="32">
        <f>'Таблица 3 '!C42</f>
        <v>12828640.93</v>
      </c>
      <c r="R52" s="29">
        <f t="shared" si="3"/>
        <v>12828640.93</v>
      </c>
      <c r="S52" s="29">
        <v>0</v>
      </c>
      <c r="T52" s="29">
        <f t="shared" si="4"/>
        <v>881.92992829693173</v>
      </c>
      <c r="U52" s="29">
        <f t="shared" si="5"/>
        <v>881.92992829693173</v>
      </c>
      <c r="V52" s="33" t="s">
        <v>45</v>
      </c>
    </row>
    <row r="53" spans="1:22" s="23" customFormat="1" ht="44.25" customHeight="1" x14ac:dyDescent="0.25">
      <c r="A53" s="25">
        <v>32</v>
      </c>
      <c r="B53" s="37" t="s">
        <v>89</v>
      </c>
      <c r="C53" s="25" t="s">
        <v>90</v>
      </c>
      <c r="D53" s="27" t="s">
        <v>91</v>
      </c>
      <c r="E53" s="27" t="s">
        <v>39</v>
      </c>
      <c r="F53" s="25" t="s">
        <v>48</v>
      </c>
      <c r="G53" s="28">
        <v>10</v>
      </c>
      <c r="H53" s="28">
        <v>3</v>
      </c>
      <c r="I53" s="29">
        <v>7240.3</v>
      </c>
      <c r="J53" s="29">
        <v>7240.3</v>
      </c>
      <c r="K53" s="29">
        <v>7240.3</v>
      </c>
      <c r="L53" s="30">
        <v>273</v>
      </c>
      <c r="M53" s="31">
        <f t="shared" si="2"/>
        <v>8751660</v>
      </c>
      <c r="N53" s="29">
        <v>0</v>
      </c>
      <c r="O53" s="29">
        <v>0</v>
      </c>
      <c r="P53" s="29">
        <v>0</v>
      </c>
      <c r="Q53" s="32">
        <f>'Таблица 3 '!C43</f>
        <v>8751660</v>
      </c>
      <c r="R53" s="29">
        <f t="shared" si="3"/>
        <v>8751660</v>
      </c>
      <c r="S53" s="29">
        <v>0</v>
      </c>
      <c r="T53" s="29">
        <f t="shared" si="4"/>
        <v>1208.7427316547657</v>
      </c>
      <c r="U53" s="29">
        <f t="shared" si="5"/>
        <v>1208.7427316547657</v>
      </c>
      <c r="V53" s="33" t="s">
        <v>45</v>
      </c>
    </row>
    <row r="54" spans="1:22" s="23" customFormat="1" ht="44.25" customHeight="1" x14ac:dyDescent="0.25">
      <c r="A54" s="25">
        <v>33</v>
      </c>
      <c r="B54" s="26" t="s">
        <v>92</v>
      </c>
      <c r="C54" s="25" t="s">
        <v>43</v>
      </c>
      <c r="D54" s="27" t="s">
        <v>93</v>
      </c>
      <c r="E54" s="27" t="s">
        <v>39</v>
      </c>
      <c r="F54" s="25" t="s">
        <v>44</v>
      </c>
      <c r="G54" s="28">
        <v>2</v>
      </c>
      <c r="H54" s="28">
        <v>1</v>
      </c>
      <c r="I54" s="29">
        <v>322.3</v>
      </c>
      <c r="J54" s="29">
        <v>322.3</v>
      </c>
      <c r="K54" s="29">
        <v>213.5</v>
      </c>
      <c r="L54" s="30">
        <v>16</v>
      </c>
      <c r="M54" s="31">
        <f t="shared" si="2"/>
        <v>265575.2</v>
      </c>
      <c r="N54" s="29">
        <v>0</v>
      </c>
      <c r="O54" s="29">
        <v>0</v>
      </c>
      <c r="P54" s="29">
        <v>0</v>
      </c>
      <c r="Q54" s="32">
        <f>'Таблица 3 '!C44</f>
        <v>265575.2</v>
      </c>
      <c r="R54" s="29">
        <f t="shared" si="3"/>
        <v>265575.2</v>
      </c>
      <c r="S54" s="29">
        <v>0</v>
      </c>
      <c r="T54" s="29">
        <f t="shared" si="4"/>
        <v>824</v>
      </c>
      <c r="U54" s="29">
        <f t="shared" si="5"/>
        <v>824</v>
      </c>
      <c r="V54" s="33" t="s">
        <v>45</v>
      </c>
    </row>
    <row r="55" spans="1:22" s="23" customFormat="1" ht="44.25" customHeight="1" x14ac:dyDescent="0.25">
      <c r="A55" s="25">
        <v>34</v>
      </c>
      <c r="B55" s="26" t="s">
        <v>94</v>
      </c>
      <c r="C55" s="25" t="s">
        <v>43</v>
      </c>
      <c r="D55" s="25">
        <v>1991</v>
      </c>
      <c r="E55" s="27" t="s">
        <v>39</v>
      </c>
      <c r="F55" s="25" t="s">
        <v>48</v>
      </c>
      <c r="G55" s="28">
        <v>10</v>
      </c>
      <c r="H55" s="28">
        <v>3</v>
      </c>
      <c r="I55" s="29">
        <v>7213.2</v>
      </c>
      <c r="J55" s="29">
        <v>5771.4</v>
      </c>
      <c r="K55" s="29">
        <v>0</v>
      </c>
      <c r="L55" s="30">
        <v>20</v>
      </c>
      <c r="M55" s="31">
        <f t="shared" si="2"/>
        <v>6058818.71</v>
      </c>
      <c r="N55" s="29">
        <v>0</v>
      </c>
      <c r="O55" s="29">
        <v>0</v>
      </c>
      <c r="P55" s="29">
        <v>0</v>
      </c>
      <c r="Q55" s="32">
        <f>'Таблица 3 '!C45</f>
        <v>6058818.71</v>
      </c>
      <c r="R55" s="29">
        <f t="shared" si="3"/>
        <v>6058818.71</v>
      </c>
      <c r="S55" s="29">
        <v>0</v>
      </c>
      <c r="T55" s="29">
        <f t="shared" si="4"/>
        <v>1049.8005180718717</v>
      </c>
      <c r="U55" s="29">
        <f t="shared" si="5"/>
        <v>1049.8005180718717</v>
      </c>
      <c r="V55" s="33" t="s">
        <v>45</v>
      </c>
    </row>
    <row r="56" spans="1:22" s="23" customFormat="1" ht="44.25" customHeight="1" x14ac:dyDescent="0.25">
      <c r="A56" s="25">
        <v>35</v>
      </c>
      <c r="B56" s="26" t="s">
        <v>95</v>
      </c>
      <c r="C56" s="25" t="s">
        <v>43</v>
      </c>
      <c r="D56" s="25">
        <v>2011</v>
      </c>
      <c r="E56" s="27" t="s">
        <v>39</v>
      </c>
      <c r="F56" s="25" t="s">
        <v>48</v>
      </c>
      <c r="G56" s="28">
        <v>5</v>
      </c>
      <c r="H56" s="28">
        <v>5</v>
      </c>
      <c r="I56" s="29">
        <v>8137</v>
      </c>
      <c r="J56" s="29">
        <v>5829.1</v>
      </c>
      <c r="K56" s="29">
        <v>0</v>
      </c>
      <c r="L56" s="30">
        <v>2</v>
      </c>
      <c r="M56" s="31">
        <f t="shared" si="2"/>
        <v>1301702.3999999999</v>
      </c>
      <c r="N56" s="29">
        <v>0</v>
      </c>
      <c r="O56" s="29">
        <v>0</v>
      </c>
      <c r="P56" s="29">
        <v>0</v>
      </c>
      <c r="Q56" s="32">
        <f>'Таблица 3 '!C46</f>
        <v>1301702.3999999999</v>
      </c>
      <c r="R56" s="29">
        <f t="shared" si="3"/>
        <v>1301702.3999999999</v>
      </c>
      <c r="S56" s="29">
        <v>0</v>
      </c>
      <c r="T56" s="29">
        <f t="shared" si="4"/>
        <v>223.31104287111214</v>
      </c>
      <c r="U56" s="29">
        <f t="shared" si="5"/>
        <v>223.31104287111214</v>
      </c>
      <c r="V56" s="33" t="s">
        <v>45</v>
      </c>
    </row>
    <row r="57" spans="1:22" s="23" customFormat="1" ht="44.25" customHeight="1" x14ac:dyDescent="0.25">
      <c r="A57" s="25">
        <v>36</v>
      </c>
      <c r="B57" s="36" t="s">
        <v>96</v>
      </c>
      <c r="C57" s="25" t="s">
        <v>43</v>
      </c>
      <c r="D57" s="25">
        <v>1984</v>
      </c>
      <c r="E57" s="27" t="s">
        <v>39</v>
      </c>
      <c r="F57" s="25" t="s">
        <v>48</v>
      </c>
      <c r="G57" s="28">
        <v>5</v>
      </c>
      <c r="H57" s="28">
        <v>4</v>
      </c>
      <c r="I57" s="29">
        <v>7213</v>
      </c>
      <c r="J57" s="29">
        <v>2963.5</v>
      </c>
      <c r="K57" s="29">
        <v>0</v>
      </c>
      <c r="L57" s="30">
        <v>20</v>
      </c>
      <c r="M57" s="31">
        <f t="shared" si="2"/>
        <v>2742180</v>
      </c>
      <c r="N57" s="29">
        <v>0</v>
      </c>
      <c r="O57" s="29">
        <v>0</v>
      </c>
      <c r="P57" s="29">
        <v>0</v>
      </c>
      <c r="Q57" s="32">
        <f>'Таблица 3 '!C47</f>
        <v>2742180</v>
      </c>
      <c r="R57" s="29">
        <f t="shared" si="3"/>
        <v>2742180</v>
      </c>
      <c r="S57" s="29">
        <v>0</v>
      </c>
      <c r="T57" s="29">
        <f t="shared" si="4"/>
        <v>925.3180361059558</v>
      </c>
      <c r="U57" s="29">
        <f t="shared" si="5"/>
        <v>925.3180361059558</v>
      </c>
      <c r="V57" s="33" t="s">
        <v>45</v>
      </c>
    </row>
    <row r="58" spans="1:22" s="23" customFormat="1" ht="44.25" customHeight="1" x14ac:dyDescent="0.25">
      <c r="A58" s="25">
        <v>37</v>
      </c>
      <c r="B58" s="36" t="s">
        <v>97</v>
      </c>
      <c r="C58" s="25" t="s">
        <v>43</v>
      </c>
      <c r="D58" s="25">
        <v>1952</v>
      </c>
      <c r="E58" s="27" t="s">
        <v>39</v>
      </c>
      <c r="F58" s="25" t="s">
        <v>48</v>
      </c>
      <c r="G58" s="28">
        <v>2</v>
      </c>
      <c r="H58" s="28">
        <v>1</v>
      </c>
      <c r="I58" s="29">
        <v>546</v>
      </c>
      <c r="J58" s="29">
        <v>385.1</v>
      </c>
      <c r="K58" s="29">
        <v>0</v>
      </c>
      <c r="L58" s="30">
        <v>12</v>
      </c>
      <c r="M58" s="31">
        <f t="shared" si="2"/>
        <v>473467.07999999996</v>
      </c>
      <c r="N58" s="29">
        <v>0</v>
      </c>
      <c r="O58" s="29">
        <v>0</v>
      </c>
      <c r="P58" s="29">
        <v>0</v>
      </c>
      <c r="Q58" s="32">
        <f>'Таблица 3 '!C48</f>
        <v>473467.07999999996</v>
      </c>
      <c r="R58" s="29">
        <f t="shared" si="3"/>
        <v>473467.07999999996</v>
      </c>
      <c r="S58" s="29">
        <v>0</v>
      </c>
      <c r="T58" s="29">
        <f t="shared" si="4"/>
        <v>1229.4652817450012</v>
      </c>
      <c r="U58" s="29">
        <f t="shared" si="5"/>
        <v>1229.4652817450012</v>
      </c>
      <c r="V58" s="33" t="s">
        <v>45</v>
      </c>
    </row>
    <row r="59" spans="1:22" s="23" customFormat="1" ht="44.25" customHeight="1" x14ac:dyDescent="0.25">
      <c r="A59" s="25">
        <v>38</v>
      </c>
      <c r="B59" s="36" t="s">
        <v>98</v>
      </c>
      <c r="C59" s="25" t="s">
        <v>43</v>
      </c>
      <c r="D59" s="25">
        <v>1952</v>
      </c>
      <c r="E59" s="27" t="s">
        <v>39</v>
      </c>
      <c r="F59" s="25" t="s">
        <v>48</v>
      </c>
      <c r="G59" s="28">
        <v>2</v>
      </c>
      <c r="H59" s="28">
        <v>1</v>
      </c>
      <c r="I59" s="29">
        <v>389</v>
      </c>
      <c r="J59" s="29">
        <v>389</v>
      </c>
      <c r="K59" s="29">
        <v>0</v>
      </c>
      <c r="L59" s="30">
        <v>2</v>
      </c>
      <c r="M59" s="31">
        <f t="shared" si="2"/>
        <v>423649.33</v>
      </c>
      <c r="N59" s="29">
        <v>0</v>
      </c>
      <c r="O59" s="29">
        <v>0</v>
      </c>
      <c r="P59" s="29">
        <v>0</v>
      </c>
      <c r="Q59" s="32">
        <f>'Таблица 3 '!C49</f>
        <v>423649.33</v>
      </c>
      <c r="R59" s="29">
        <f t="shared" si="3"/>
        <v>423649.33</v>
      </c>
      <c r="S59" s="29">
        <v>0</v>
      </c>
      <c r="T59" s="29">
        <f t="shared" si="4"/>
        <v>1089.0728277634962</v>
      </c>
      <c r="U59" s="29">
        <f t="shared" si="5"/>
        <v>1089.0728277634962</v>
      </c>
      <c r="V59" s="33" t="s">
        <v>45</v>
      </c>
    </row>
    <row r="60" spans="1:22" s="23" customFormat="1" ht="44.25" customHeight="1" x14ac:dyDescent="0.25">
      <c r="A60" s="25">
        <v>39</v>
      </c>
      <c r="B60" s="36" t="s">
        <v>99</v>
      </c>
      <c r="C60" s="25" t="s">
        <v>43</v>
      </c>
      <c r="D60" s="25">
        <v>1952</v>
      </c>
      <c r="E60" s="27" t="s">
        <v>39</v>
      </c>
      <c r="F60" s="25" t="s">
        <v>48</v>
      </c>
      <c r="G60" s="28">
        <v>2</v>
      </c>
      <c r="H60" s="28">
        <v>1</v>
      </c>
      <c r="I60" s="29">
        <v>426.6</v>
      </c>
      <c r="J60" s="29">
        <v>391</v>
      </c>
      <c r="K60" s="29">
        <v>0</v>
      </c>
      <c r="L60" s="30">
        <v>2</v>
      </c>
      <c r="M60" s="31">
        <f t="shared" si="2"/>
        <v>426814.43000000005</v>
      </c>
      <c r="N60" s="29">
        <v>0</v>
      </c>
      <c r="O60" s="29">
        <v>0</v>
      </c>
      <c r="P60" s="29">
        <v>0</v>
      </c>
      <c r="Q60" s="32">
        <f>'Таблица 3 '!C50</f>
        <v>426814.43000000005</v>
      </c>
      <c r="R60" s="29">
        <f t="shared" si="3"/>
        <v>426814.43000000005</v>
      </c>
      <c r="S60" s="29">
        <v>0</v>
      </c>
      <c r="T60" s="29">
        <f t="shared" si="4"/>
        <v>1091.5970076726344</v>
      </c>
      <c r="U60" s="29">
        <f t="shared" si="5"/>
        <v>1091.5970076726344</v>
      </c>
      <c r="V60" s="33" t="s">
        <v>45</v>
      </c>
    </row>
    <row r="61" spans="1:22" s="23" customFormat="1" ht="44.25" customHeight="1" x14ac:dyDescent="0.25">
      <c r="A61" s="25">
        <v>40</v>
      </c>
      <c r="B61" s="36" t="s">
        <v>100</v>
      </c>
      <c r="C61" s="25" t="s">
        <v>43</v>
      </c>
      <c r="D61" s="25">
        <v>1965</v>
      </c>
      <c r="E61" s="27" t="s">
        <v>39</v>
      </c>
      <c r="F61" s="25" t="s">
        <v>48</v>
      </c>
      <c r="G61" s="28">
        <v>2</v>
      </c>
      <c r="H61" s="28">
        <v>2</v>
      </c>
      <c r="I61" s="29">
        <v>162.1</v>
      </c>
      <c r="J61" s="29">
        <v>637.9</v>
      </c>
      <c r="K61" s="29">
        <v>0</v>
      </c>
      <c r="L61" s="30">
        <v>2</v>
      </c>
      <c r="M61" s="31">
        <f t="shared" si="2"/>
        <v>487666.6</v>
      </c>
      <c r="N61" s="29">
        <v>0</v>
      </c>
      <c r="O61" s="29">
        <v>0</v>
      </c>
      <c r="P61" s="29">
        <v>0</v>
      </c>
      <c r="Q61" s="32">
        <f>'Таблица 3 '!C51</f>
        <v>487666.6</v>
      </c>
      <c r="R61" s="29">
        <f t="shared" si="3"/>
        <v>487666.6</v>
      </c>
      <c r="S61" s="29">
        <v>0</v>
      </c>
      <c r="T61" s="29">
        <f t="shared" si="4"/>
        <v>764.48753723154095</v>
      </c>
      <c r="U61" s="29">
        <f t="shared" si="5"/>
        <v>764.48753723154095</v>
      </c>
      <c r="V61" s="33" t="s">
        <v>45</v>
      </c>
    </row>
    <row r="62" spans="1:22" s="23" customFormat="1" ht="44.25" customHeight="1" x14ac:dyDescent="0.25">
      <c r="A62" s="25">
        <v>41</v>
      </c>
      <c r="B62" s="36" t="s">
        <v>101</v>
      </c>
      <c r="C62" s="25" t="s">
        <v>43</v>
      </c>
      <c r="D62" s="25">
        <v>1972</v>
      </c>
      <c r="E62" s="27" t="s">
        <v>39</v>
      </c>
      <c r="F62" s="25" t="s">
        <v>48</v>
      </c>
      <c r="G62" s="28">
        <v>2</v>
      </c>
      <c r="H62" s="28">
        <v>2</v>
      </c>
      <c r="I62" s="29">
        <v>589</v>
      </c>
      <c r="J62" s="29">
        <v>633.29999999999995</v>
      </c>
      <c r="K62" s="29">
        <v>0</v>
      </c>
      <c r="L62" s="30">
        <v>2</v>
      </c>
      <c r="M62" s="31">
        <f t="shared" si="2"/>
        <v>478271.48</v>
      </c>
      <c r="N62" s="29">
        <v>0</v>
      </c>
      <c r="O62" s="29">
        <v>0</v>
      </c>
      <c r="P62" s="29">
        <v>0</v>
      </c>
      <c r="Q62" s="32">
        <f>'Таблица 3 '!C52</f>
        <v>478271.48</v>
      </c>
      <c r="R62" s="29">
        <f t="shared" si="3"/>
        <v>478271.48</v>
      </c>
      <c r="S62" s="29">
        <v>0</v>
      </c>
      <c r="T62" s="29">
        <f t="shared" si="4"/>
        <v>755.20524238117798</v>
      </c>
      <c r="U62" s="29">
        <f t="shared" si="5"/>
        <v>755.20524238117798</v>
      </c>
      <c r="V62" s="33" t="s">
        <v>45</v>
      </c>
    </row>
    <row r="63" spans="1:22" s="23" customFormat="1" ht="44.25" customHeight="1" x14ac:dyDescent="0.25">
      <c r="A63" s="25">
        <v>42</v>
      </c>
      <c r="B63" s="36" t="s">
        <v>102</v>
      </c>
      <c r="C63" s="25" t="s">
        <v>43</v>
      </c>
      <c r="D63" s="25">
        <v>1978</v>
      </c>
      <c r="E63" s="27" t="s">
        <v>39</v>
      </c>
      <c r="F63" s="25" t="s">
        <v>48</v>
      </c>
      <c r="G63" s="28">
        <v>2</v>
      </c>
      <c r="H63" s="28">
        <v>2</v>
      </c>
      <c r="I63" s="29">
        <v>698</v>
      </c>
      <c r="J63" s="29">
        <v>738</v>
      </c>
      <c r="K63" s="29">
        <v>0</v>
      </c>
      <c r="L63" s="30">
        <v>2</v>
      </c>
      <c r="M63" s="31">
        <f t="shared" si="2"/>
        <v>559664</v>
      </c>
      <c r="N63" s="29">
        <v>0</v>
      </c>
      <c r="O63" s="29">
        <v>0</v>
      </c>
      <c r="P63" s="29">
        <v>0</v>
      </c>
      <c r="Q63" s="32">
        <f>'Таблица 3 '!C53</f>
        <v>559664</v>
      </c>
      <c r="R63" s="29">
        <f t="shared" si="3"/>
        <v>559664</v>
      </c>
      <c r="S63" s="29">
        <v>0</v>
      </c>
      <c r="T63" s="29">
        <f t="shared" si="4"/>
        <v>758.35230352303518</v>
      </c>
      <c r="U63" s="29">
        <f t="shared" si="5"/>
        <v>758.35230352303518</v>
      </c>
      <c r="V63" s="33" t="s">
        <v>45</v>
      </c>
    </row>
    <row r="64" spans="1:22" s="23" customFormat="1" ht="44.25" customHeight="1" x14ac:dyDescent="0.25">
      <c r="A64" s="25">
        <v>43</v>
      </c>
      <c r="B64" s="26" t="s">
        <v>103</v>
      </c>
      <c r="C64" s="25" t="s">
        <v>43</v>
      </c>
      <c r="D64" s="27" t="s">
        <v>104</v>
      </c>
      <c r="E64" s="27" t="s">
        <v>39</v>
      </c>
      <c r="F64" s="25" t="s">
        <v>48</v>
      </c>
      <c r="G64" s="28">
        <v>5</v>
      </c>
      <c r="H64" s="28">
        <v>6</v>
      </c>
      <c r="I64" s="29">
        <v>4143.5</v>
      </c>
      <c r="J64" s="29">
        <v>4156.2</v>
      </c>
      <c r="K64" s="29">
        <v>3763.7</v>
      </c>
      <c r="L64" s="30">
        <v>198</v>
      </c>
      <c r="M64" s="31">
        <f t="shared" si="2"/>
        <v>34052018.460000001</v>
      </c>
      <c r="N64" s="29">
        <v>0</v>
      </c>
      <c r="O64" s="29">
        <v>0</v>
      </c>
      <c r="P64" s="29">
        <v>0</v>
      </c>
      <c r="Q64" s="32">
        <f>'Таблица 3 '!C54</f>
        <v>34052018.460000001</v>
      </c>
      <c r="R64" s="29">
        <f t="shared" si="3"/>
        <v>34052018.460000001</v>
      </c>
      <c r="S64" s="29">
        <v>0</v>
      </c>
      <c r="T64" s="29">
        <f t="shared" si="4"/>
        <v>8193.065410711708</v>
      </c>
      <c r="U64" s="29">
        <f t="shared" si="5"/>
        <v>8193.065410711708</v>
      </c>
      <c r="V64" s="33" t="s">
        <v>45</v>
      </c>
    </row>
    <row r="65" spans="1:22" s="23" customFormat="1" ht="44.25" customHeight="1" x14ac:dyDescent="0.25">
      <c r="A65" s="25">
        <v>44</v>
      </c>
      <c r="B65" s="26" t="s">
        <v>105</v>
      </c>
      <c r="C65" s="25" t="s">
        <v>43</v>
      </c>
      <c r="D65" s="27" t="s">
        <v>106</v>
      </c>
      <c r="E65" s="27" t="s">
        <v>39</v>
      </c>
      <c r="F65" s="25" t="s">
        <v>44</v>
      </c>
      <c r="G65" s="28">
        <v>5</v>
      </c>
      <c r="H65" s="28">
        <v>3</v>
      </c>
      <c r="I65" s="29">
        <v>2776</v>
      </c>
      <c r="J65" s="29">
        <v>2757.6</v>
      </c>
      <c r="K65" s="29">
        <v>2632.8</v>
      </c>
      <c r="L65" s="30">
        <v>144</v>
      </c>
      <c r="M65" s="31">
        <f t="shared" si="2"/>
        <v>9410331.0999999996</v>
      </c>
      <c r="N65" s="29">
        <v>0</v>
      </c>
      <c r="O65" s="29">
        <v>0</v>
      </c>
      <c r="P65" s="29">
        <v>0</v>
      </c>
      <c r="Q65" s="32">
        <f>'Таблица 3 '!C55</f>
        <v>9410331.0999999996</v>
      </c>
      <c r="R65" s="29">
        <f t="shared" si="3"/>
        <v>9410331.0999999996</v>
      </c>
      <c r="S65" s="29">
        <v>0</v>
      </c>
      <c r="T65" s="29">
        <f t="shared" si="4"/>
        <v>3412.5076515810852</v>
      </c>
      <c r="U65" s="29">
        <f t="shared" si="5"/>
        <v>3412.5076515810852</v>
      </c>
      <c r="V65" s="33" t="s">
        <v>45</v>
      </c>
    </row>
    <row r="66" spans="1:22" s="23" customFormat="1" ht="44.25" customHeight="1" x14ac:dyDescent="0.25">
      <c r="A66" s="25">
        <v>45</v>
      </c>
      <c r="B66" s="26" t="s">
        <v>107</v>
      </c>
      <c r="C66" s="25" t="s">
        <v>43</v>
      </c>
      <c r="D66" s="25">
        <v>1956</v>
      </c>
      <c r="E66" s="27" t="s">
        <v>39</v>
      </c>
      <c r="F66" s="25" t="s">
        <v>44</v>
      </c>
      <c r="G66" s="28">
        <v>2</v>
      </c>
      <c r="H66" s="28">
        <v>1</v>
      </c>
      <c r="I66" s="29">
        <v>368.1</v>
      </c>
      <c r="J66" s="29">
        <v>336.2</v>
      </c>
      <c r="K66" s="29">
        <v>368.9</v>
      </c>
      <c r="L66" s="30">
        <v>12</v>
      </c>
      <c r="M66" s="31">
        <f t="shared" si="2"/>
        <v>166822.21</v>
      </c>
      <c r="N66" s="29">
        <v>0</v>
      </c>
      <c r="O66" s="29">
        <v>0</v>
      </c>
      <c r="P66" s="29">
        <v>0</v>
      </c>
      <c r="Q66" s="32">
        <f>'Таблица 3 '!C56</f>
        <v>166822.21</v>
      </c>
      <c r="R66" s="29">
        <f t="shared" si="3"/>
        <v>166822.21</v>
      </c>
      <c r="S66" s="29">
        <v>0</v>
      </c>
      <c r="T66" s="29">
        <f t="shared" si="4"/>
        <v>496.19931588340273</v>
      </c>
      <c r="U66" s="29">
        <f t="shared" si="5"/>
        <v>496.19931588340273</v>
      </c>
      <c r="V66" s="33" t="s">
        <v>45</v>
      </c>
    </row>
    <row r="67" spans="1:22" s="23" customFormat="1" ht="44.25" customHeight="1" x14ac:dyDescent="0.25">
      <c r="A67" s="25">
        <v>46</v>
      </c>
      <c r="B67" s="26" t="s">
        <v>108</v>
      </c>
      <c r="C67" s="25" t="s">
        <v>43</v>
      </c>
      <c r="D67" s="27" t="s">
        <v>109</v>
      </c>
      <c r="E67" s="27" t="s">
        <v>63</v>
      </c>
      <c r="F67" s="25" t="s">
        <v>44</v>
      </c>
      <c r="G67" s="28">
        <v>9</v>
      </c>
      <c r="H67" s="28">
        <v>1</v>
      </c>
      <c r="I67" s="29">
        <v>4246.6000000000004</v>
      </c>
      <c r="J67" s="29">
        <v>4020.8</v>
      </c>
      <c r="K67" s="29">
        <v>3025.7</v>
      </c>
      <c r="L67" s="30">
        <v>139</v>
      </c>
      <c r="M67" s="31">
        <f t="shared" si="2"/>
        <v>3206846.21</v>
      </c>
      <c r="N67" s="29">
        <v>0</v>
      </c>
      <c r="O67" s="29">
        <v>0</v>
      </c>
      <c r="P67" s="29">
        <v>0</v>
      </c>
      <c r="Q67" s="32">
        <f>'Таблица 3 '!C57</f>
        <v>3206846.21</v>
      </c>
      <c r="R67" s="29">
        <f t="shared" si="3"/>
        <v>3206846.21</v>
      </c>
      <c r="S67" s="29">
        <v>0</v>
      </c>
      <c r="T67" s="29">
        <f t="shared" si="4"/>
        <v>797.56421856346992</v>
      </c>
      <c r="U67" s="29">
        <f t="shared" si="5"/>
        <v>797.56421856346992</v>
      </c>
      <c r="V67" s="33" t="s">
        <v>45</v>
      </c>
    </row>
    <row r="68" spans="1:22" s="23" customFormat="1" ht="44.25" customHeight="1" x14ac:dyDescent="0.25">
      <c r="A68" s="25">
        <v>47</v>
      </c>
      <c r="B68" s="26" t="s">
        <v>110</v>
      </c>
      <c r="C68" s="25" t="s">
        <v>43</v>
      </c>
      <c r="D68" s="25">
        <v>1992</v>
      </c>
      <c r="E68" s="27" t="s">
        <v>39</v>
      </c>
      <c r="F68" s="25" t="s">
        <v>48</v>
      </c>
      <c r="G68" s="28">
        <v>9</v>
      </c>
      <c r="H68" s="28">
        <v>2</v>
      </c>
      <c r="I68" s="29">
        <v>3528.2</v>
      </c>
      <c r="J68" s="29">
        <v>3528.2</v>
      </c>
      <c r="K68" s="29">
        <v>3528.2</v>
      </c>
      <c r="L68" s="30">
        <v>126</v>
      </c>
      <c r="M68" s="31">
        <f t="shared" si="2"/>
        <v>134171</v>
      </c>
      <c r="N68" s="29">
        <v>0</v>
      </c>
      <c r="O68" s="29">
        <v>0</v>
      </c>
      <c r="P68" s="29">
        <v>0</v>
      </c>
      <c r="Q68" s="32">
        <f>'Таблица 3 '!C58</f>
        <v>134171</v>
      </c>
      <c r="R68" s="29">
        <f t="shared" si="3"/>
        <v>134171</v>
      </c>
      <c r="S68" s="29">
        <v>0</v>
      </c>
      <c r="T68" s="29">
        <f t="shared" si="4"/>
        <v>38.028173006065416</v>
      </c>
      <c r="U68" s="29">
        <f t="shared" si="5"/>
        <v>38.028173006065416</v>
      </c>
      <c r="V68" s="33" t="s">
        <v>45</v>
      </c>
    </row>
    <row r="69" spans="1:22" s="23" customFormat="1" ht="44.25" customHeight="1" x14ac:dyDescent="0.25">
      <c r="A69" s="25">
        <v>48</v>
      </c>
      <c r="B69" s="26" t="s">
        <v>111</v>
      </c>
      <c r="C69" s="25" t="s">
        <v>43</v>
      </c>
      <c r="D69" s="25">
        <v>1973</v>
      </c>
      <c r="E69" s="27" t="s">
        <v>57</v>
      </c>
      <c r="F69" s="25" t="s">
        <v>44</v>
      </c>
      <c r="G69" s="28">
        <v>2</v>
      </c>
      <c r="H69" s="28">
        <v>2</v>
      </c>
      <c r="I69" s="29">
        <v>744.5</v>
      </c>
      <c r="J69" s="29">
        <v>730.7</v>
      </c>
      <c r="K69" s="29">
        <v>646.1</v>
      </c>
      <c r="L69" s="30">
        <v>37</v>
      </c>
      <c r="M69" s="31">
        <f t="shared" si="2"/>
        <v>219362.54</v>
      </c>
      <c r="N69" s="29">
        <v>0</v>
      </c>
      <c r="O69" s="29">
        <v>0</v>
      </c>
      <c r="P69" s="29">
        <v>0</v>
      </c>
      <c r="Q69" s="32">
        <f>'Таблица 3 '!C59</f>
        <v>219362.54</v>
      </c>
      <c r="R69" s="29">
        <f t="shared" si="3"/>
        <v>219362.54</v>
      </c>
      <c r="S69" s="29">
        <v>0</v>
      </c>
      <c r="T69" s="29">
        <f t="shared" si="4"/>
        <v>300.20875872451074</v>
      </c>
      <c r="U69" s="29">
        <f t="shared" si="5"/>
        <v>300.20875872451074</v>
      </c>
      <c r="V69" s="33" t="s">
        <v>45</v>
      </c>
    </row>
    <row r="70" spans="1:22" s="23" customFormat="1" ht="44.25" customHeight="1" x14ac:dyDescent="0.25">
      <c r="A70" s="25">
        <v>49</v>
      </c>
      <c r="B70" s="26" t="s">
        <v>112</v>
      </c>
      <c r="C70" s="25" t="s">
        <v>43</v>
      </c>
      <c r="D70" s="25">
        <v>1971</v>
      </c>
      <c r="E70" s="27" t="s">
        <v>39</v>
      </c>
      <c r="F70" s="25" t="s">
        <v>48</v>
      </c>
      <c r="G70" s="28">
        <v>2</v>
      </c>
      <c r="H70" s="28">
        <v>2</v>
      </c>
      <c r="I70" s="32">
        <v>653.20000000000005</v>
      </c>
      <c r="J70" s="32">
        <v>639.9</v>
      </c>
      <c r="K70" s="32">
        <v>357.8</v>
      </c>
      <c r="L70" s="35">
        <v>41</v>
      </c>
      <c r="M70" s="31">
        <f t="shared" si="2"/>
        <v>377981.1</v>
      </c>
      <c r="N70" s="29">
        <v>0</v>
      </c>
      <c r="O70" s="29">
        <v>0</v>
      </c>
      <c r="P70" s="29">
        <v>0</v>
      </c>
      <c r="Q70" s="32">
        <f>'Таблица 3 '!C60</f>
        <v>377981.1</v>
      </c>
      <c r="R70" s="29">
        <f t="shared" si="3"/>
        <v>377981.1</v>
      </c>
      <c r="S70" s="32">
        <v>0</v>
      </c>
      <c r="T70" s="29">
        <f t="shared" si="4"/>
        <v>590.68776371308013</v>
      </c>
      <c r="U70" s="29">
        <f t="shared" si="5"/>
        <v>590.68776371308013</v>
      </c>
      <c r="V70" s="33" t="s">
        <v>45</v>
      </c>
    </row>
    <row r="71" spans="1:22" s="23" customFormat="1" ht="44.25" customHeight="1" x14ac:dyDescent="0.25">
      <c r="A71" s="25">
        <v>50</v>
      </c>
      <c r="B71" s="34" t="s">
        <v>113</v>
      </c>
      <c r="C71" s="25" t="s">
        <v>90</v>
      </c>
      <c r="D71" s="27" t="s">
        <v>114</v>
      </c>
      <c r="E71" s="27" t="s">
        <v>39</v>
      </c>
      <c r="F71" s="25" t="s">
        <v>44</v>
      </c>
      <c r="G71" s="28">
        <v>5</v>
      </c>
      <c r="H71" s="28">
        <v>6</v>
      </c>
      <c r="I71" s="29">
        <v>4322.8</v>
      </c>
      <c r="J71" s="29">
        <v>3857.2</v>
      </c>
      <c r="K71" s="29">
        <v>3857.2</v>
      </c>
      <c r="L71" s="30">
        <v>168</v>
      </c>
      <c r="M71" s="31">
        <f t="shared" si="2"/>
        <v>1546459.7</v>
      </c>
      <c r="N71" s="29">
        <v>0</v>
      </c>
      <c r="O71" s="29">
        <v>0</v>
      </c>
      <c r="P71" s="29">
        <v>0</v>
      </c>
      <c r="Q71" s="32">
        <f>'Таблица 3 '!C61</f>
        <v>1546459.7</v>
      </c>
      <c r="R71" s="29">
        <f t="shared" si="3"/>
        <v>1546459.7</v>
      </c>
      <c r="S71" s="29">
        <v>0</v>
      </c>
      <c r="T71" s="29">
        <f t="shared" si="4"/>
        <v>400.9280566213834</v>
      </c>
      <c r="U71" s="29">
        <f t="shared" si="5"/>
        <v>400.9280566213834</v>
      </c>
      <c r="V71" s="33" t="s">
        <v>45</v>
      </c>
    </row>
    <row r="72" spans="1:22" s="23" customFormat="1" ht="44.25" customHeight="1" x14ac:dyDescent="0.25">
      <c r="A72" s="25">
        <v>51</v>
      </c>
      <c r="B72" s="34" t="s">
        <v>115</v>
      </c>
      <c r="C72" s="25" t="s">
        <v>43</v>
      </c>
      <c r="D72" s="27" t="s">
        <v>93</v>
      </c>
      <c r="E72" s="27" t="s">
        <v>39</v>
      </c>
      <c r="F72" s="25" t="s">
        <v>44</v>
      </c>
      <c r="G72" s="28">
        <v>4</v>
      </c>
      <c r="H72" s="28">
        <v>3</v>
      </c>
      <c r="I72" s="29">
        <v>2018.7</v>
      </c>
      <c r="J72" s="29">
        <v>2012.9</v>
      </c>
      <c r="K72" s="29">
        <v>1808.5</v>
      </c>
      <c r="L72" s="30">
        <v>99</v>
      </c>
      <c r="M72" s="31">
        <f t="shared" si="2"/>
        <v>11659431.08</v>
      </c>
      <c r="N72" s="29">
        <v>0</v>
      </c>
      <c r="O72" s="29">
        <v>0</v>
      </c>
      <c r="P72" s="29">
        <v>0</v>
      </c>
      <c r="Q72" s="32">
        <f>'Таблица 3 '!C62</f>
        <v>11659431.08</v>
      </c>
      <c r="R72" s="29">
        <f t="shared" si="3"/>
        <v>11659431.08</v>
      </c>
      <c r="S72" s="29">
        <v>0</v>
      </c>
      <c r="T72" s="29">
        <f t="shared" si="4"/>
        <v>5792.3548512096968</v>
      </c>
      <c r="U72" s="29">
        <f t="shared" si="5"/>
        <v>5792.3548512096968</v>
      </c>
      <c r="V72" s="33" t="s">
        <v>45</v>
      </c>
    </row>
    <row r="73" spans="1:22" s="23" customFormat="1" ht="44.25" customHeight="1" x14ac:dyDescent="0.25">
      <c r="A73" s="25">
        <v>52</v>
      </c>
      <c r="B73" s="34" t="s">
        <v>116</v>
      </c>
      <c r="C73" s="25" t="s">
        <v>85</v>
      </c>
      <c r="D73" s="27" t="s">
        <v>93</v>
      </c>
      <c r="E73" s="27" t="s">
        <v>39</v>
      </c>
      <c r="F73" s="25" t="s">
        <v>44</v>
      </c>
      <c r="G73" s="28">
        <v>4</v>
      </c>
      <c r="H73" s="28">
        <v>2</v>
      </c>
      <c r="I73" s="29">
        <v>1289.2</v>
      </c>
      <c r="J73" s="29">
        <v>1272.9000000000001</v>
      </c>
      <c r="K73" s="29">
        <v>1209.4000000000001</v>
      </c>
      <c r="L73" s="30">
        <v>62</v>
      </c>
      <c r="M73" s="31">
        <f t="shared" si="2"/>
        <v>379523.8</v>
      </c>
      <c r="N73" s="29">
        <v>0</v>
      </c>
      <c r="O73" s="29">
        <v>0</v>
      </c>
      <c r="P73" s="29">
        <v>0</v>
      </c>
      <c r="Q73" s="32">
        <f>'Таблица 3 '!C63</f>
        <v>379523.8</v>
      </c>
      <c r="R73" s="29">
        <f t="shared" si="3"/>
        <v>379523.8</v>
      </c>
      <c r="S73" s="29">
        <v>0</v>
      </c>
      <c r="T73" s="29">
        <f t="shared" si="4"/>
        <v>298.15680729043913</v>
      </c>
      <c r="U73" s="29">
        <f t="shared" si="5"/>
        <v>298.15680729043913</v>
      </c>
      <c r="V73" s="33" t="s">
        <v>45</v>
      </c>
    </row>
    <row r="74" spans="1:22" s="23" customFormat="1" ht="44.25" customHeight="1" x14ac:dyDescent="0.25">
      <c r="A74" s="25">
        <v>53</v>
      </c>
      <c r="B74" s="26" t="s">
        <v>117</v>
      </c>
      <c r="C74" s="25" t="s">
        <v>43</v>
      </c>
      <c r="D74" s="25">
        <v>1959</v>
      </c>
      <c r="E74" s="27" t="s">
        <v>39</v>
      </c>
      <c r="F74" s="25" t="s">
        <v>44</v>
      </c>
      <c r="G74" s="28">
        <v>2</v>
      </c>
      <c r="H74" s="28">
        <v>1</v>
      </c>
      <c r="I74" s="29">
        <v>268.89999999999998</v>
      </c>
      <c r="J74" s="29">
        <v>273</v>
      </c>
      <c r="K74" s="29">
        <v>190.7</v>
      </c>
      <c r="L74" s="30">
        <v>20</v>
      </c>
      <c r="M74" s="31">
        <f t="shared" si="2"/>
        <v>145370.03</v>
      </c>
      <c r="N74" s="29">
        <v>0</v>
      </c>
      <c r="O74" s="29">
        <v>0</v>
      </c>
      <c r="P74" s="29">
        <v>0</v>
      </c>
      <c r="Q74" s="32">
        <f>'Таблица 3 '!C64</f>
        <v>145370.03</v>
      </c>
      <c r="R74" s="29">
        <f t="shared" si="3"/>
        <v>145370.03</v>
      </c>
      <c r="S74" s="29">
        <v>0</v>
      </c>
      <c r="T74" s="29">
        <f t="shared" si="4"/>
        <v>532.49095238095242</v>
      </c>
      <c r="U74" s="29">
        <f t="shared" si="5"/>
        <v>532.49095238095242</v>
      </c>
      <c r="V74" s="33" t="s">
        <v>45</v>
      </c>
    </row>
    <row r="75" spans="1:22" s="23" customFormat="1" ht="44.25" customHeight="1" x14ac:dyDescent="0.25">
      <c r="A75" s="25">
        <v>54</v>
      </c>
      <c r="B75" s="26" t="s">
        <v>118</v>
      </c>
      <c r="C75" s="25" t="s">
        <v>43</v>
      </c>
      <c r="D75" s="25">
        <v>1960</v>
      </c>
      <c r="E75" s="27" t="s">
        <v>39</v>
      </c>
      <c r="F75" s="25" t="s">
        <v>44</v>
      </c>
      <c r="G75" s="28">
        <v>2</v>
      </c>
      <c r="H75" s="28">
        <v>1</v>
      </c>
      <c r="I75" s="29">
        <v>284.7</v>
      </c>
      <c r="J75" s="29">
        <v>272.5</v>
      </c>
      <c r="K75" s="29">
        <v>237.6</v>
      </c>
      <c r="L75" s="30">
        <v>16</v>
      </c>
      <c r="M75" s="31">
        <f t="shared" si="2"/>
        <v>147350.51</v>
      </c>
      <c r="N75" s="29">
        <v>0</v>
      </c>
      <c r="O75" s="29">
        <v>0</v>
      </c>
      <c r="P75" s="29">
        <v>0</v>
      </c>
      <c r="Q75" s="32">
        <f>'Таблица 3 '!C65</f>
        <v>147350.51</v>
      </c>
      <c r="R75" s="29">
        <f t="shared" si="3"/>
        <v>147350.51</v>
      </c>
      <c r="S75" s="29">
        <v>0</v>
      </c>
      <c r="T75" s="29">
        <f t="shared" si="4"/>
        <v>540.73581651376151</v>
      </c>
      <c r="U75" s="29">
        <f t="shared" si="5"/>
        <v>540.73581651376151</v>
      </c>
      <c r="V75" s="33" t="s">
        <v>45</v>
      </c>
    </row>
    <row r="76" spans="1:22" s="23" customFormat="1" ht="44.25" customHeight="1" x14ac:dyDescent="0.25">
      <c r="A76" s="25">
        <v>55</v>
      </c>
      <c r="B76" s="26" t="s">
        <v>119</v>
      </c>
      <c r="C76" s="25" t="s">
        <v>43</v>
      </c>
      <c r="D76" s="25">
        <v>1958</v>
      </c>
      <c r="E76" s="27" t="s">
        <v>39</v>
      </c>
      <c r="F76" s="25" t="s">
        <v>44</v>
      </c>
      <c r="G76" s="28">
        <v>2</v>
      </c>
      <c r="H76" s="28">
        <v>1</v>
      </c>
      <c r="I76" s="29">
        <v>261.8</v>
      </c>
      <c r="J76" s="29">
        <v>273.39999999999998</v>
      </c>
      <c r="K76" s="29">
        <v>273.39999999999998</v>
      </c>
      <c r="L76" s="30">
        <v>8</v>
      </c>
      <c r="M76" s="31">
        <f t="shared" si="2"/>
        <v>140658.88</v>
      </c>
      <c r="N76" s="29">
        <v>0</v>
      </c>
      <c r="O76" s="29">
        <v>0</v>
      </c>
      <c r="P76" s="29">
        <v>0</v>
      </c>
      <c r="Q76" s="32">
        <f>'Таблица 3 '!C66</f>
        <v>140658.88</v>
      </c>
      <c r="R76" s="29">
        <f t="shared" si="3"/>
        <v>140658.88</v>
      </c>
      <c r="S76" s="29">
        <v>0</v>
      </c>
      <c r="T76" s="29">
        <f t="shared" si="4"/>
        <v>514.48017556693492</v>
      </c>
      <c r="U76" s="29">
        <f t="shared" si="5"/>
        <v>514.48017556693492</v>
      </c>
      <c r="V76" s="33" t="s">
        <v>45</v>
      </c>
    </row>
    <row r="77" spans="1:22" s="23" customFormat="1" ht="44.25" customHeight="1" x14ac:dyDescent="0.25">
      <c r="A77" s="25">
        <v>56</v>
      </c>
      <c r="B77" s="26" t="s">
        <v>120</v>
      </c>
      <c r="C77" s="25" t="s">
        <v>43</v>
      </c>
      <c r="D77" s="25">
        <v>1975</v>
      </c>
      <c r="E77" s="27" t="s">
        <v>57</v>
      </c>
      <c r="F77" s="25" t="s">
        <v>77</v>
      </c>
      <c r="G77" s="28">
        <v>5</v>
      </c>
      <c r="H77" s="28">
        <v>3</v>
      </c>
      <c r="I77" s="32">
        <v>2805.1</v>
      </c>
      <c r="J77" s="32">
        <v>3154.6</v>
      </c>
      <c r="K77" s="32">
        <v>2713.5</v>
      </c>
      <c r="L77" s="35">
        <v>72</v>
      </c>
      <c r="M77" s="31">
        <f t="shared" si="2"/>
        <v>292575.33</v>
      </c>
      <c r="N77" s="29">
        <v>0</v>
      </c>
      <c r="O77" s="29">
        <v>0</v>
      </c>
      <c r="P77" s="29">
        <v>0</v>
      </c>
      <c r="Q77" s="32">
        <f>'Таблица 3 '!C67</f>
        <v>292575.33</v>
      </c>
      <c r="R77" s="29">
        <f t="shared" si="3"/>
        <v>292575.33</v>
      </c>
      <c r="S77" s="32">
        <v>0</v>
      </c>
      <c r="T77" s="29">
        <f t="shared" si="4"/>
        <v>92.745619095923416</v>
      </c>
      <c r="U77" s="29">
        <f t="shared" si="5"/>
        <v>92.745619095923416</v>
      </c>
      <c r="V77" s="33" t="s">
        <v>45</v>
      </c>
    </row>
    <row r="78" spans="1:22" s="23" customFormat="1" ht="44.25" customHeight="1" x14ac:dyDescent="0.25">
      <c r="A78" s="25">
        <v>57</v>
      </c>
      <c r="B78" s="38" t="s">
        <v>121</v>
      </c>
      <c r="C78" s="25" t="s">
        <v>43</v>
      </c>
      <c r="D78" s="27" t="s">
        <v>93</v>
      </c>
      <c r="E78" s="27" t="s">
        <v>39</v>
      </c>
      <c r="F78" s="25" t="s">
        <v>44</v>
      </c>
      <c r="G78" s="28">
        <v>2</v>
      </c>
      <c r="H78" s="28">
        <v>2</v>
      </c>
      <c r="I78" s="29">
        <v>775.9</v>
      </c>
      <c r="J78" s="29">
        <v>676.7</v>
      </c>
      <c r="K78" s="29">
        <v>107</v>
      </c>
      <c r="L78" s="30">
        <v>49</v>
      </c>
      <c r="M78" s="31">
        <f t="shared" si="2"/>
        <v>1650674.04</v>
      </c>
      <c r="N78" s="29">
        <v>0</v>
      </c>
      <c r="O78" s="29">
        <v>0</v>
      </c>
      <c r="P78" s="29">
        <v>0</v>
      </c>
      <c r="Q78" s="32">
        <f>'Таблица 3 '!C68</f>
        <v>1650674.04</v>
      </c>
      <c r="R78" s="29">
        <f t="shared" si="3"/>
        <v>1650674.04</v>
      </c>
      <c r="S78" s="29">
        <v>0</v>
      </c>
      <c r="T78" s="29">
        <f t="shared" si="4"/>
        <v>2439.2996010048764</v>
      </c>
      <c r="U78" s="29">
        <f t="shared" si="5"/>
        <v>2439.2996010048764</v>
      </c>
      <c r="V78" s="33" t="s">
        <v>45</v>
      </c>
    </row>
    <row r="79" spans="1:22" s="23" customFormat="1" ht="44.25" customHeight="1" x14ac:dyDescent="0.25">
      <c r="A79" s="25">
        <v>58</v>
      </c>
      <c r="B79" s="26" t="s">
        <v>122</v>
      </c>
      <c r="C79" s="25" t="s">
        <v>90</v>
      </c>
      <c r="D79" s="25">
        <v>1989</v>
      </c>
      <c r="E79" s="27" t="s">
        <v>39</v>
      </c>
      <c r="F79" s="25" t="s">
        <v>48</v>
      </c>
      <c r="G79" s="28">
        <v>5</v>
      </c>
      <c r="H79" s="28">
        <v>4</v>
      </c>
      <c r="I79" s="32">
        <v>3829.2</v>
      </c>
      <c r="J79" s="32">
        <v>2816.4</v>
      </c>
      <c r="K79" s="32">
        <v>2816.4</v>
      </c>
      <c r="L79" s="35">
        <v>127</v>
      </c>
      <c r="M79" s="31">
        <f t="shared" si="2"/>
        <v>1658604.53</v>
      </c>
      <c r="N79" s="29">
        <v>0</v>
      </c>
      <c r="O79" s="29">
        <v>0</v>
      </c>
      <c r="P79" s="29">
        <v>0</v>
      </c>
      <c r="Q79" s="32">
        <f>'Таблица 3 '!C69</f>
        <v>1658604.53</v>
      </c>
      <c r="R79" s="29">
        <f t="shared" si="3"/>
        <v>1658604.53</v>
      </c>
      <c r="S79" s="32">
        <v>0</v>
      </c>
      <c r="T79" s="29">
        <f t="shared" si="4"/>
        <v>588.90943402925723</v>
      </c>
      <c r="U79" s="29">
        <f t="shared" si="5"/>
        <v>588.90943402925723</v>
      </c>
      <c r="V79" s="33" t="s">
        <v>45</v>
      </c>
    </row>
    <row r="80" spans="1:22" s="23" customFormat="1" ht="44.25" customHeight="1" x14ac:dyDescent="0.25">
      <c r="A80" s="25">
        <v>59</v>
      </c>
      <c r="B80" s="26" t="s">
        <v>123</v>
      </c>
      <c r="C80" s="25" t="s">
        <v>43</v>
      </c>
      <c r="D80" s="25">
        <v>1987</v>
      </c>
      <c r="E80" s="27" t="s">
        <v>57</v>
      </c>
      <c r="F80" s="25" t="s">
        <v>48</v>
      </c>
      <c r="G80" s="28">
        <v>5</v>
      </c>
      <c r="H80" s="28">
        <v>4</v>
      </c>
      <c r="I80" s="32">
        <v>4753.1000000000004</v>
      </c>
      <c r="J80" s="32">
        <v>4005.4</v>
      </c>
      <c r="K80" s="32">
        <v>3883.2</v>
      </c>
      <c r="L80" s="35">
        <v>169</v>
      </c>
      <c r="M80" s="31">
        <f t="shared" si="2"/>
        <v>997039.41</v>
      </c>
      <c r="N80" s="29">
        <v>0</v>
      </c>
      <c r="O80" s="29">
        <v>0</v>
      </c>
      <c r="P80" s="29">
        <v>0</v>
      </c>
      <c r="Q80" s="32">
        <f>'Таблица 3 '!C70</f>
        <v>997039.41</v>
      </c>
      <c r="R80" s="29">
        <f t="shared" si="3"/>
        <v>997039.41</v>
      </c>
      <c r="S80" s="32">
        <v>0</v>
      </c>
      <c r="T80" s="29">
        <f t="shared" si="4"/>
        <v>248.92380536276028</v>
      </c>
      <c r="U80" s="29">
        <f t="shared" si="5"/>
        <v>248.92380536276028</v>
      </c>
      <c r="V80" s="33" t="s">
        <v>45</v>
      </c>
    </row>
    <row r="81" spans="1:22" s="23" customFormat="1" ht="44.25" customHeight="1" x14ac:dyDescent="0.25">
      <c r="A81" s="25">
        <v>60</v>
      </c>
      <c r="B81" s="37" t="s">
        <v>124</v>
      </c>
      <c r="C81" s="25" t="s">
        <v>43</v>
      </c>
      <c r="D81" s="27" t="s">
        <v>114</v>
      </c>
      <c r="E81" s="27" t="s">
        <v>39</v>
      </c>
      <c r="F81" s="25" t="s">
        <v>44</v>
      </c>
      <c r="G81" s="28">
        <v>5</v>
      </c>
      <c r="H81" s="28">
        <v>4</v>
      </c>
      <c r="I81" s="29">
        <v>3355.8</v>
      </c>
      <c r="J81" s="29">
        <v>3363.3</v>
      </c>
      <c r="K81" s="29">
        <v>3175.9</v>
      </c>
      <c r="L81" s="30">
        <v>174</v>
      </c>
      <c r="M81" s="31">
        <f t="shared" si="2"/>
        <v>419368.33999999997</v>
      </c>
      <c r="N81" s="29">
        <v>0</v>
      </c>
      <c r="O81" s="29">
        <v>0</v>
      </c>
      <c r="P81" s="29">
        <v>0</v>
      </c>
      <c r="Q81" s="32">
        <f>'Таблица 3 '!C71</f>
        <v>419368.33999999997</v>
      </c>
      <c r="R81" s="29">
        <f t="shared" si="3"/>
        <v>419368.33999999997</v>
      </c>
      <c r="S81" s="29">
        <v>0</v>
      </c>
      <c r="T81" s="29">
        <f t="shared" si="4"/>
        <v>124.68954300835487</v>
      </c>
      <c r="U81" s="29">
        <f t="shared" si="5"/>
        <v>124.68954300835487</v>
      </c>
      <c r="V81" s="33" t="s">
        <v>45</v>
      </c>
    </row>
    <row r="82" spans="1:22" s="23" customFormat="1" ht="44.25" customHeight="1" x14ac:dyDescent="0.25">
      <c r="A82" s="25">
        <v>61</v>
      </c>
      <c r="B82" s="26" t="s">
        <v>125</v>
      </c>
      <c r="C82" s="25" t="s">
        <v>43</v>
      </c>
      <c r="D82" s="27" t="s">
        <v>126</v>
      </c>
      <c r="E82" s="27" t="s">
        <v>39</v>
      </c>
      <c r="F82" s="25" t="s">
        <v>44</v>
      </c>
      <c r="G82" s="28">
        <v>4</v>
      </c>
      <c r="H82" s="28">
        <v>1</v>
      </c>
      <c r="I82" s="29">
        <v>869.9</v>
      </c>
      <c r="J82" s="29">
        <v>847.1</v>
      </c>
      <c r="K82" s="29">
        <v>642.70000000000005</v>
      </c>
      <c r="L82" s="30">
        <v>52</v>
      </c>
      <c r="M82" s="31">
        <f t="shared" si="2"/>
        <v>259180.81</v>
      </c>
      <c r="N82" s="29">
        <v>0</v>
      </c>
      <c r="O82" s="29">
        <v>0</v>
      </c>
      <c r="P82" s="29">
        <v>0</v>
      </c>
      <c r="Q82" s="32">
        <f>'Таблица 3 '!C72</f>
        <v>259180.81</v>
      </c>
      <c r="R82" s="29">
        <f t="shared" si="3"/>
        <v>259180.81</v>
      </c>
      <c r="S82" s="29">
        <v>0</v>
      </c>
      <c r="T82" s="29">
        <f t="shared" si="4"/>
        <v>305.96247196316847</v>
      </c>
      <c r="U82" s="29">
        <f t="shared" si="5"/>
        <v>305.96247196316847</v>
      </c>
      <c r="V82" s="33" t="s">
        <v>45</v>
      </c>
    </row>
    <row r="83" spans="1:22" s="23" customFormat="1" ht="44.25" customHeight="1" x14ac:dyDescent="0.25">
      <c r="A83" s="25">
        <v>62</v>
      </c>
      <c r="B83" s="26" t="s">
        <v>127</v>
      </c>
      <c r="C83" s="25" t="s">
        <v>43</v>
      </c>
      <c r="D83" s="25">
        <v>1935</v>
      </c>
      <c r="E83" s="25">
        <v>2025</v>
      </c>
      <c r="F83" s="25" t="s">
        <v>44</v>
      </c>
      <c r="G83" s="28">
        <v>4</v>
      </c>
      <c r="H83" s="28">
        <v>7</v>
      </c>
      <c r="I83" s="32">
        <v>4718.5</v>
      </c>
      <c r="J83" s="32">
        <v>2825.1</v>
      </c>
      <c r="K83" s="32">
        <v>2427.3000000000002</v>
      </c>
      <c r="L83" s="35">
        <v>98</v>
      </c>
      <c r="M83" s="31">
        <f t="shared" si="2"/>
        <v>11751748.800000001</v>
      </c>
      <c r="N83" s="29">
        <v>0</v>
      </c>
      <c r="O83" s="29">
        <v>0</v>
      </c>
      <c r="P83" s="29">
        <v>0</v>
      </c>
      <c r="Q83" s="32">
        <f>'Таблица 3 '!C73</f>
        <v>11751748.800000001</v>
      </c>
      <c r="R83" s="29">
        <f t="shared" si="3"/>
        <v>11751748.800000001</v>
      </c>
      <c r="S83" s="29">
        <v>0</v>
      </c>
      <c r="T83" s="29">
        <f t="shared" si="4"/>
        <v>4159.7638313688012</v>
      </c>
      <c r="U83" s="29">
        <f t="shared" si="5"/>
        <v>4159.7638313688012</v>
      </c>
      <c r="V83" s="33" t="s">
        <v>45</v>
      </c>
    </row>
    <row r="84" spans="1:22" s="23" customFormat="1" ht="44.25" customHeight="1" x14ac:dyDescent="0.25">
      <c r="A84" s="25">
        <v>63</v>
      </c>
      <c r="B84" s="26" t="s">
        <v>128</v>
      </c>
      <c r="C84" s="25" t="s">
        <v>43</v>
      </c>
      <c r="D84" s="27" t="s">
        <v>129</v>
      </c>
      <c r="E84" s="27" t="s">
        <v>130</v>
      </c>
      <c r="F84" s="25" t="s">
        <v>44</v>
      </c>
      <c r="G84" s="28">
        <v>4</v>
      </c>
      <c r="H84" s="28">
        <v>6</v>
      </c>
      <c r="I84" s="29">
        <v>4579.7</v>
      </c>
      <c r="J84" s="29">
        <v>4405.5</v>
      </c>
      <c r="K84" s="29">
        <v>4234.3999999999996</v>
      </c>
      <c r="L84" s="30">
        <v>67</v>
      </c>
      <c r="M84" s="31">
        <f t="shared" si="2"/>
        <v>198651.11</v>
      </c>
      <c r="N84" s="29">
        <v>0</v>
      </c>
      <c r="O84" s="29">
        <v>0</v>
      </c>
      <c r="P84" s="29">
        <v>0</v>
      </c>
      <c r="Q84" s="32">
        <f>'Таблица 3 '!C74</f>
        <v>198651.11</v>
      </c>
      <c r="R84" s="29">
        <f t="shared" si="3"/>
        <v>198651.11</v>
      </c>
      <c r="S84" s="29">
        <v>0</v>
      </c>
      <c r="T84" s="29">
        <f t="shared" si="4"/>
        <v>45.091615026671207</v>
      </c>
      <c r="U84" s="29">
        <f t="shared" si="5"/>
        <v>45.091615026671207</v>
      </c>
      <c r="V84" s="33" t="s">
        <v>45</v>
      </c>
    </row>
    <row r="85" spans="1:22" s="23" customFormat="1" ht="44.25" customHeight="1" x14ac:dyDescent="0.25">
      <c r="A85" s="25">
        <v>64</v>
      </c>
      <c r="B85" s="26" t="s">
        <v>131</v>
      </c>
      <c r="C85" s="25" t="s">
        <v>43</v>
      </c>
      <c r="D85" s="27" t="s">
        <v>132</v>
      </c>
      <c r="E85" s="27" t="s">
        <v>39</v>
      </c>
      <c r="F85" s="25" t="s">
        <v>44</v>
      </c>
      <c r="G85" s="28">
        <v>5</v>
      </c>
      <c r="H85" s="28">
        <v>2</v>
      </c>
      <c r="I85" s="29">
        <v>1789.4</v>
      </c>
      <c r="J85" s="29">
        <v>1785.3</v>
      </c>
      <c r="K85" s="29">
        <v>1785.3</v>
      </c>
      <c r="L85" s="30">
        <v>77</v>
      </c>
      <c r="M85" s="31">
        <f t="shared" si="2"/>
        <v>4521682.16</v>
      </c>
      <c r="N85" s="29">
        <v>0</v>
      </c>
      <c r="O85" s="29">
        <v>0</v>
      </c>
      <c r="P85" s="29">
        <v>0</v>
      </c>
      <c r="Q85" s="32">
        <f>'Таблица 3 '!C75</f>
        <v>4521682.16</v>
      </c>
      <c r="R85" s="29">
        <f t="shared" si="3"/>
        <v>4521682.16</v>
      </c>
      <c r="S85" s="29">
        <v>0</v>
      </c>
      <c r="T85" s="29">
        <f t="shared" si="4"/>
        <v>2532.7296028678657</v>
      </c>
      <c r="U85" s="29">
        <f t="shared" si="5"/>
        <v>2532.7296028678657</v>
      </c>
      <c r="V85" s="33" t="s">
        <v>45</v>
      </c>
    </row>
    <row r="86" spans="1:22" s="23" customFormat="1" ht="44.25" customHeight="1" x14ac:dyDescent="0.25">
      <c r="A86" s="25">
        <v>65</v>
      </c>
      <c r="B86" s="26" t="s">
        <v>133</v>
      </c>
      <c r="C86" s="25" t="s">
        <v>43</v>
      </c>
      <c r="D86" s="25">
        <v>1961</v>
      </c>
      <c r="E86" s="25">
        <v>2019</v>
      </c>
      <c r="F86" s="25" t="s">
        <v>77</v>
      </c>
      <c r="G86" s="28">
        <v>4</v>
      </c>
      <c r="H86" s="28">
        <v>2</v>
      </c>
      <c r="I86" s="32">
        <v>1679.4</v>
      </c>
      <c r="J86" s="32">
        <v>1187.8</v>
      </c>
      <c r="K86" s="32">
        <v>880.2</v>
      </c>
      <c r="L86" s="35">
        <v>51</v>
      </c>
      <c r="M86" s="31">
        <f t="shared" ref="M86:M99" si="6">SUM(N86:Q86)</f>
        <v>1190490.94</v>
      </c>
      <c r="N86" s="29">
        <v>0</v>
      </c>
      <c r="O86" s="29">
        <v>0</v>
      </c>
      <c r="P86" s="29">
        <v>0</v>
      </c>
      <c r="Q86" s="32">
        <f>'Таблица 3 '!C76</f>
        <v>1190490.94</v>
      </c>
      <c r="R86" s="29">
        <f t="shared" ref="R86:R99" si="7">Q86</f>
        <v>1190490.94</v>
      </c>
      <c r="S86" s="29">
        <v>0</v>
      </c>
      <c r="T86" s="29">
        <f t="shared" ref="T86:T148" si="8">M86/J86</f>
        <v>1002.2654824044452</v>
      </c>
      <c r="U86" s="29">
        <f t="shared" ref="U86:U148" si="9">T86</f>
        <v>1002.2654824044452</v>
      </c>
      <c r="V86" s="33" t="s">
        <v>45</v>
      </c>
    </row>
    <row r="87" spans="1:22" s="23" customFormat="1" ht="44.25" customHeight="1" x14ac:dyDescent="0.25">
      <c r="A87" s="25">
        <v>66</v>
      </c>
      <c r="B87" s="26" t="s">
        <v>134</v>
      </c>
      <c r="C87" s="25" t="s">
        <v>43</v>
      </c>
      <c r="D87" s="27" t="s">
        <v>135</v>
      </c>
      <c r="E87" s="27" t="s">
        <v>39</v>
      </c>
      <c r="F87" s="25" t="s">
        <v>48</v>
      </c>
      <c r="G87" s="28">
        <v>5</v>
      </c>
      <c r="H87" s="28">
        <v>2</v>
      </c>
      <c r="I87" s="29">
        <v>2558.3000000000002</v>
      </c>
      <c r="J87" s="29">
        <v>1950.5</v>
      </c>
      <c r="K87" s="29">
        <v>1630.3</v>
      </c>
      <c r="L87" s="30">
        <v>54</v>
      </c>
      <c r="M87" s="31">
        <f t="shared" si="6"/>
        <v>6511803.1200000001</v>
      </c>
      <c r="N87" s="29">
        <v>0</v>
      </c>
      <c r="O87" s="29">
        <v>0</v>
      </c>
      <c r="P87" s="29">
        <v>0</v>
      </c>
      <c r="Q87" s="32">
        <f>'Таблица 3 '!C77</f>
        <v>6511803.1200000001</v>
      </c>
      <c r="R87" s="29">
        <f t="shared" si="7"/>
        <v>6511803.1200000001</v>
      </c>
      <c r="S87" s="29">
        <v>0</v>
      </c>
      <c r="T87" s="29">
        <f t="shared" si="8"/>
        <v>3338.5301820046143</v>
      </c>
      <c r="U87" s="29">
        <f t="shared" si="9"/>
        <v>3338.5301820046143</v>
      </c>
      <c r="V87" s="33" t="s">
        <v>45</v>
      </c>
    </row>
    <row r="88" spans="1:22" s="23" customFormat="1" ht="44.25" customHeight="1" x14ac:dyDescent="0.25">
      <c r="A88" s="25">
        <v>67</v>
      </c>
      <c r="B88" s="26" t="s">
        <v>136</v>
      </c>
      <c r="C88" s="25" t="s">
        <v>43</v>
      </c>
      <c r="D88" s="27" t="s">
        <v>137</v>
      </c>
      <c r="E88" s="27" t="s">
        <v>63</v>
      </c>
      <c r="F88" s="25" t="s">
        <v>44</v>
      </c>
      <c r="G88" s="28">
        <v>9</v>
      </c>
      <c r="H88" s="28">
        <v>1</v>
      </c>
      <c r="I88" s="29">
        <v>2776.7</v>
      </c>
      <c r="J88" s="29">
        <v>2774.4</v>
      </c>
      <c r="K88" s="29">
        <v>2139.6</v>
      </c>
      <c r="L88" s="30">
        <v>84</v>
      </c>
      <c r="M88" s="31">
        <f t="shared" si="6"/>
        <v>372048.24</v>
      </c>
      <c r="N88" s="29">
        <v>0</v>
      </c>
      <c r="O88" s="29">
        <v>0</v>
      </c>
      <c r="P88" s="29">
        <v>0</v>
      </c>
      <c r="Q88" s="32">
        <f>'Таблица 3 '!C78</f>
        <v>372048.24</v>
      </c>
      <c r="R88" s="29">
        <f t="shared" si="7"/>
        <v>372048.24</v>
      </c>
      <c r="S88" s="29">
        <v>0</v>
      </c>
      <c r="T88" s="29">
        <f t="shared" si="8"/>
        <v>134.10043252595156</v>
      </c>
      <c r="U88" s="29">
        <f t="shared" si="9"/>
        <v>134.10043252595156</v>
      </c>
      <c r="V88" s="33" t="s">
        <v>45</v>
      </c>
    </row>
    <row r="89" spans="1:22" s="23" customFormat="1" ht="44.25" customHeight="1" x14ac:dyDescent="0.25">
      <c r="A89" s="25">
        <v>68</v>
      </c>
      <c r="B89" s="26" t="s">
        <v>138</v>
      </c>
      <c r="C89" s="25" t="s">
        <v>43</v>
      </c>
      <c r="D89" s="27" t="s">
        <v>126</v>
      </c>
      <c r="E89" s="27" t="s">
        <v>39</v>
      </c>
      <c r="F89" s="25" t="s">
        <v>44</v>
      </c>
      <c r="G89" s="28">
        <v>4</v>
      </c>
      <c r="H89" s="28">
        <v>2</v>
      </c>
      <c r="I89" s="29">
        <v>1259.7</v>
      </c>
      <c r="J89" s="29">
        <v>1266.5999999999999</v>
      </c>
      <c r="K89" s="29">
        <v>1213.0999999999999</v>
      </c>
      <c r="L89" s="30">
        <v>47</v>
      </c>
      <c r="M89" s="31">
        <f t="shared" si="6"/>
        <v>557624.08000000007</v>
      </c>
      <c r="N89" s="29">
        <v>0</v>
      </c>
      <c r="O89" s="29">
        <v>0</v>
      </c>
      <c r="P89" s="29">
        <v>0</v>
      </c>
      <c r="Q89" s="32">
        <f>'Таблица 3 '!C79</f>
        <v>557624.08000000007</v>
      </c>
      <c r="R89" s="29">
        <f t="shared" si="7"/>
        <v>557624.08000000007</v>
      </c>
      <c r="S89" s="29">
        <v>0</v>
      </c>
      <c r="T89" s="29">
        <f t="shared" si="8"/>
        <v>440.25270803726522</v>
      </c>
      <c r="U89" s="29">
        <f t="shared" si="9"/>
        <v>440.25270803726522</v>
      </c>
      <c r="V89" s="33" t="s">
        <v>45</v>
      </c>
    </row>
    <row r="90" spans="1:22" s="23" customFormat="1" ht="44.25" customHeight="1" x14ac:dyDescent="0.25">
      <c r="A90" s="25">
        <v>69</v>
      </c>
      <c r="B90" s="26" t="s">
        <v>139</v>
      </c>
      <c r="C90" s="25" t="s">
        <v>43</v>
      </c>
      <c r="D90" s="25">
        <v>1962</v>
      </c>
      <c r="E90" s="27" t="s">
        <v>140</v>
      </c>
      <c r="F90" s="25" t="s">
        <v>77</v>
      </c>
      <c r="G90" s="28">
        <v>3</v>
      </c>
      <c r="H90" s="28">
        <v>2</v>
      </c>
      <c r="I90" s="32">
        <v>1265.4000000000001</v>
      </c>
      <c r="J90" s="32">
        <v>1266.2</v>
      </c>
      <c r="K90" s="32">
        <v>1266.4000000000001</v>
      </c>
      <c r="L90" s="35">
        <v>47</v>
      </c>
      <c r="M90" s="31">
        <f t="shared" si="6"/>
        <v>292381.36</v>
      </c>
      <c r="N90" s="29">
        <v>0</v>
      </c>
      <c r="O90" s="29">
        <v>0</v>
      </c>
      <c r="P90" s="29">
        <v>0</v>
      </c>
      <c r="Q90" s="32">
        <f>'Таблица 3 '!C80</f>
        <v>292381.36</v>
      </c>
      <c r="R90" s="29">
        <f t="shared" si="7"/>
        <v>292381.36</v>
      </c>
      <c r="S90" s="32">
        <v>0</v>
      </c>
      <c r="T90" s="29">
        <f t="shared" si="8"/>
        <v>230.91246248617909</v>
      </c>
      <c r="U90" s="29">
        <f t="shared" si="9"/>
        <v>230.91246248617909</v>
      </c>
      <c r="V90" s="33" t="s">
        <v>45</v>
      </c>
    </row>
    <row r="91" spans="1:22" s="23" customFormat="1" ht="44.25" customHeight="1" x14ac:dyDescent="0.25">
      <c r="A91" s="25">
        <v>70</v>
      </c>
      <c r="B91" s="26" t="s">
        <v>141</v>
      </c>
      <c r="C91" s="25" t="s">
        <v>43</v>
      </c>
      <c r="D91" s="27" t="s">
        <v>104</v>
      </c>
      <c r="E91" s="27" t="s">
        <v>70</v>
      </c>
      <c r="F91" s="25" t="s">
        <v>48</v>
      </c>
      <c r="G91" s="28">
        <v>9</v>
      </c>
      <c r="H91" s="28">
        <v>3</v>
      </c>
      <c r="I91" s="29">
        <v>5926.7</v>
      </c>
      <c r="J91" s="29">
        <v>5814.4</v>
      </c>
      <c r="K91" s="29">
        <v>5416.6</v>
      </c>
      <c r="L91" s="30">
        <v>197</v>
      </c>
      <c r="M91" s="31">
        <f t="shared" si="6"/>
        <v>10820677.99</v>
      </c>
      <c r="N91" s="29">
        <v>0</v>
      </c>
      <c r="O91" s="29">
        <v>0</v>
      </c>
      <c r="P91" s="29">
        <v>0</v>
      </c>
      <c r="Q91" s="32">
        <f>'Таблица 3 '!C81</f>
        <v>10820677.99</v>
      </c>
      <c r="R91" s="29">
        <f t="shared" si="7"/>
        <v>10820677.99</v>
      </c>
      <c r="S91" s="29">
        <v>0</v>
      </c>
      <c r="T91" s="29">
        <f t="shared" si="8"/>
        <v>1861.0136884287288</v>
      </c>
      <c r="U91" s="29">
        <f t="shared" si="9"/>
        <v>1861.0136884287288</v>
      </c>
      <c r="V91" s="33" t="s">
        <v>45</v>
      </c>
    </row>
    <row r="92" spans="1:22" s="23" customFormat="1" ht="44.25" customHeight="1" x14ac:dyDescent="0.25">
      <c r="A92" s="25">
        <v>71</v>
      </c>
      <c r="B92" s="26" t="s">
        <v>142</v>
      </c>
      <c r="C92" s="25" t="s">
        <v>43</v>
      </c>
      <c r="D92" s="25">
        <v>1991</v>
      </c>
      <c r="E92" s="27" t="s">
        <v>57</v>
      </c>
      <c r="F92" s="25" t="s">
        <v>77</v>
      </c>
      <c r="G92" s="28">
        <v>5</v>
      </c>
      <c r="H92" s="28">
        <v>4</v>
      </c>
      <c r="I92" s="32">
        <v>2884.6</v>
      </c>
      <c r="J92" s="32">
        <v>2831</v>
      </c>
      <c r="K92" s="32">
        <v>2831</v>
      </c>
      <c r="L92" s="35">
        <v>113</v>
      </c>
      <c r="M92" s="31">
        <f t="shared" si="6"/>
        <v>1270282.45</v>
      </c>
      <c r="N92" s="29">
        <v>0</v>
      </c>
      <c r="O92" s="29">
        <v>0</v>
      </c>
      <c r="P92" s="29">
        <v>0</v>
      </c>
      <c r="Q92" s="32">
        <f>'Таблица 3 '!C82</f>
        <v>1270282.45</v>
      </c>
      <c r="R92" s="29">
        <f t="shared" si="7"/>
        <v>1270282.45</v>
      </c>
      <c r="S92" s="32">
        <v>0</v>
      </c>
      <c r="T92" s="29">
        <f t="shared" si="8"/>
        <v>448.70450370893673</v>
      </c>
      <c r="U92" s="29">
        <f t="shared" si="9"/>
        <v>448.70450370893673</v>
      </c>
      <c r="V92" s="33" t="s">
        <v>45</v>
      </c>
    </row>
    <row r="93" spans="1:22" s="23" customFormat="1" ht="44.25" customHeight="1" x14ac:dyDescent="0.25">
      <c r="A93" s="25">
        <v>72</v>
      </c>
      <c r="B93" s="26" t="s">
        <v>143</v>
      </c>
      <c r="C93" s="25" t="s">
        <v>43</v>
      </c>
      <c r="D93" s="27" t="s">
        <v>132</v>
      </c>
      <c r="E93" s="27" t="s">
        <v>39</v>
      </c>
      <c r="F93" s="25" t="s">
        <v>48</v>
      </c>
      <c r="G93" s="28">
        <v>5</v>
      </c>
      <c r="H93" s="28">
        <v>4</v>
      </c>
      <c r="I93" s="29">
        <v>4222.6000000000004</v>
      </c>
      <c r="J93" s="29">
        <v>3268.5</v>
      </c>
      <c r="K93" s="29">
        <v>3206</v>
      </c>
      <c r="L93" s="30">
        <v>138</v>
      </c>
      <c r="M93" s="31">
        <f t="shared" si="6"/>
        <v>16876022.129999999</v>
      </c>
      <c r="N93" s="29">
        <v>0</v>
      </c>
      <c r="O93" s="29">
        <v>0</v>
      </c>
      <c r="P93" s="29">
        <v>0</v>
      </c>
      <c r="Q93" s="32">
        <f>'Таблица 3 '!C83</f>
        <v>16876022.129999999</v>
      </c>
      <c r="R93" s="29">
        <f t="shared" si="7"/>
        <v>16876022.129999999</v>
      </c>
      <c r="S93" s="29">
        <v>0</v>
      </c>
      <c r="T93" s="29">
        <f t="shared" si="8"/>
        <v>5163.2314915098668</v>
      </c>
      <c r="U93" s="29">
        <f t="shared" si="9"/>
        <v>5163.2314915098668</v>
      </c>
      <c r="V93" s="33" t="s">
        <v>45</v>
      </c>
    </row>
    <row r="94" spans="1:22" s="23" customFormat="1" ht="44.25" customHeight="1" x14ac:dyDescent="0.25">
      <c r="A94" s="25">
        <v>73</v>
      </c>
      <c r="B94" s="37" t="s">
        <v>144</v>
      </c>
      <c r="C94" s="25" t="s">
        <v>43</v>
      </c>
      <c r="D94" s="27" t="s">
        <v>145</v>
      </c>
      <c r="E94" s="27" t="s">
        <v>60</v>
      </c>
      <c r="F94" s="25" t="s">
        <v>44</v>
      </c>
      <c r="G94" s="28">
        <v>5</v>
      </c>
      <c r="H94" s="28">
        <v>4</v>
      </c>
      <c r="I94" s="29">
        <v>2807</v>
      </c>
      <c r="J94" s="29">
        <v>2730.1</v>
      </c>
      <c r="K94" s="29">
        <v>2698.1</v>
      </c>
      <c r="L94" s="30">
        <v>119</v>
      </c>
      <c r="M94" s="31">
        <f t="shared" si="6"/>
        <v>5205688.3600000003</v>
      </c>
      <c r="N94" s="29">
        <v>0</v>
      </c>
      <c r="O94" s="29">
        <v>0</v>
      </c>
      <c r="P94" s="29">
        <v>0</v>
      </c>
      <c r="Q94" s="32">
        <f>'Таблица 3 '!C84</f>
        <v>5205688.3600000003</v>
      </c>
      <c r="R94" s="29">
        <f t="shared" si="7"/>
        <v>5205688.3600000003</v>
      </c>
      <c r="S94" s="29">
        <v>0</v>
      </c>
      <c r="T94" s="29">
        <f t="shared" si="8"/>
        <v>1906.7757078495295</v>
      </c>
      <c r="U94" s="29">
        <f t="shared" si="9"/>
        <v>1906.7757078495295</v>
      </c>
      <c r="V94" s="33" t="s">
        <v>45</v>
      </c>
    </row>
    <row r="95" spans="1:22" s="23" customFormat="1" ht="44.25" customHeight="1" x14ac:dyDescent="0.25">
      <c r="A95" s="25">
        <v>74</v>
      </c>
      <c r="B95" s="34" t="s">
        <v>146</v>
      </c>
      <c r="C95" s="25" t="s">
        <v>43</v>
      </c>
      <c r="D95" s="27" t="s">
        <v>147</v>
      </c>
      <c r="E95" s="27" t="s">
        <v>39</v>
      </c>
      <c r="F95" s="25" t="s">
        <v>44</v>
      </c>
      <c r="G95" s="28">
        <v>5</v>
      </c>
      <c r="H95" s="28">
        <v>6</v>
      </c>
      <c r="I95" s="29">
        <v>4515.7</v>
      </c>
      <c r="J95" s="29">
        <v>4469.6000000000004</v>
      </c>
      <c r="K95" s="29">
        <v>4332.3999999999996</v>
      </c>
      <c r="L95" s="30">
        <v>184</v>
      </c>
      <c r="M95" s="31">
        <f t="shared" si="6"/>
        <v>312220.88</v>
      </c>
      <c r="N95" s="29">
        <v>0</v>
      </c>
      <c r="O95" s="29">
        <v>0</v>
      </c>
      <c r="P95" s="29">
        <v>0</v>
      </c>
      <c r="Q95" s="32">
        <f>'Таблица 3 '!C85</f>
        <v>312220.88</v>
      </c>
      <c r="R95" s="29">
        <f t="shared" si="7"/>
        <v>312220.88</v>
      </c>
      <c r="S95" s="29">
        <v>0</v>
      </c>
      <c r="T95" s="29">
        <f t="shared" si="8"/>
        <v>69.85432253445498</v>
      </c>
      <c r="U95" s="29">
        <f t="shared" si="9"/>
        <v>69.85432253445498</v>
      </c>
      <c r="V95" s="33" t="s">
        <v>45</v>
      </c>
    </row>
    <row r="96" spans="1:22" s="23" customFormat="1" ht="44.25" customHeight="1" x14ac:dyDescent="0.25">
      <c r="A96" s="25">
        <v>75</v>
      </c>
      <c r="B96" s="37" t="s">
        <v>148</v>
      </c>
      <c r="C96" s="25" t="s">
        <v>43</v>
      </c>
      <c r="D96" s="27" t="s">
        <v>114</v>
      </c>
      <c r="E96" s="27">
        <v>2025</v>
      </c>
      <c r="F96" s="25" t="s">
        <v>44</v>
      </c>
      <c r="G96" s="28">
        <v>5</v>
      </c>
      <c r="H96" s="28">
        <v>6</v>
      </c>
      <c r="I96" s="29">
        <v>4546.1000000000004</v>
      </c>
      <c r="J96" s="29">
        <v>4505.3999999999996</v>
      </c>
      <c r="K96" s="29">
        <v>4458.5</v>
      </c>
      <c r="L96" s="30">
        <v>177</v>
      </c>
      <c r="M96" s="31">
        <f t="shared" si="6"/>
        <v>200481.33</v>
      </c>
      <c r="N96" s="29">
        <v>0</v>
      </c>
      <c r="O96" s="29">
        <v>0</v>
      </c>
      <c r="P96" s="29">
        <v>0</v>
      </c>
      <c r="Q96" s="32">
        <f>'Таблица 3 '!C86</f>
        <v>200481.33</v>
      </c>
      <c r="R96" s="29">
        <f t="shared" si="7"/>
        <v>200481.33</v>
      </c>
      <c r="S96" s="29">
        <v>0</v>
      </c>
      <c r="T96" s="29">
        <f t="shared" si="8"/>
        <v>44.498009055799706</v>
      </c>
      <c r="U96" s="29">
        <f t="shared" si="9"/>
        <v>44.498009055799706</v>
      </c>
      <c r="V96" s="33" t="s">
        <v>45</v>
      </c>
    </row>
    <row r="97" spans="1:22" s="23" customFormat="1" ht="44.25" customHeight="1" x14ac:dyDescent="0.25">
      <c r="A97" s="25">
        <v>76</v>
      </c>
      <c r="B97" s="37" t="s">
        <v>149</v>
      </c>
      <c r="C97" s="25" t="s">
        <v>43</v>
      </c>
      <c r="D97" s="25">
        <v>1983</v>
      </c>
      <c r="E97" s="25" t="s">
        <v>39</v>
      </c>
      <c r="F97" s="25" t="s">
        <v>77</v>
      </c>
      <c r="G97" s="28">
        <v>5</v>
      </c>
      <c r="H97" s="28">
        <v>1</v>
      </c>
      <c r="I97" s="32">
        <v>2402.6</v>
      </c>
      <c r="J97" s="32">
        <v>2111.1999999999998</v>
      </c>
      <c r="K97" s="32">
        <v>2111.1999999999998</v>
      </c>
      <c r="L97" s="35">
        <v>32</v>
      </c>
      <c r="M97" s="31">
        <f t="shared" si="6"/>
        <v>6117132.1600000001</v>
      </c>
      <c r="N97" s="29">
        <v>0</v>
      </c>
      <c r="O97" s="29">
        <v>0</v>
      </c>
      <c r="P97" s="29">
        <v>0</v>
      </c>
      <c r="Q97" s="32">
        <f>'Таблица 3 '!C87</f>
        <v>6117132.1600000001</v>
      </c>
      <c r="R97" s="29">
        <f t="shared" si="7"/>
        <v>6117132.1600000001</v>
      </c>
      <c r="S97" s="29">
        <v>0</v>
      </c>
      <c r="T97" s="29">
        <f t="shared" si="8"/>
        <v>2897.4669192876095</v>
      </c>
      <c r="U97" s="29">
        <f t="shared" si="9"/>
        <v>2897.4669192876095</v>
      </c>
      <c r="V97" s="33" t="s">
        <v>45</v>
      </c>
    </row>
    <row r="98" spans="1:22" s="23" customFormat="1" ht="44.25" customHeight="1" x14ac:dyDescent="0.25">
      <c r="A98" s="25">
        <v>77</v>
      </c>
      <c r="B98" s="37" t="s">
        <v>150</v>
      </c>
      <c r="C98" s="25" t="s">
        <v>43</v>
      </c>
      <c r="D98" s="27" t="s">
        <v>106</v>
      </c>
      <c r="E98" s="27" t="s">
        <v>39</v>
      </c>
      <c r="F98" s="25" t="s">
        <v>44</v>
      </c>
      <c r="G98" s="28">
        <v>5</v>
      </c>
      <c r="H98" s="28">
        <v>4</v>
      </c>
      <c r="I98" s="29">
        <v>3181.9</v>
      </c>
      <c r="J98" s="29">
        <v>3152.5</v>
      </c>
      <c r="K98" s="29">
        <v>3094</v>
      </c>
      <c r="L98" s="30">
        <v>71</v>
      </c>
      <c r="M98" s="31">
        <f t="shared" si="6"/>
        <v>4621315.25</v>
      </c>
      <c r="N98" s="29">
        <v>0</v>
      </c>
      <c r="O98" s="29">
        <v>0</v>
      </c>
      <c r="P98" s="29">
        <v>0</v>
      </c>
      <c r="Q98" s="32">
        <f>'Таблица 3 '!C88</f>
        <v>4621315.25</v>
      </c>
      <c r="R98" s="29">
        <f t="shared" si="7"/>
        <v>4621315.25</v>
      </c>
      <c r="S98" s="29">
        <v>0</v>
      </c>
      <c r="T98" s="29">
        <f t="shared" si="8"/>
        <v>1465.9207771609833</v>
      </c>
      <c r="U98" s="29">
        <f t="shared" si="9"/>
        <v>1465.9207771609833</v>
      </c>
      <c r="V98" s="33" t="s">
        <v>45</v>
      </c>
    </row>
    <row r="99" spans="1:22" s="23" customFormat="1" ht="44.25" customHeight="1" x14ac:dyDescent="0.25">
      <c r="A99" s="25">
        <v>78</v>
      </c>
      <c r="B99" s="37" t="s">
        <v>151</v>
      </c>
      <c r="C99" s="25" t="s">
        <v>43</v>
      </c>
      <c r="D99" s="27" t="s">
        <v>152</v>
      </c>
      <c r="E99" s="27" t="s">
        <v>39</v>
      </c>
      <c r="F99" s="25" t="s">
        <v>48</v>
      </c>
      <c r="G99" s="28">
        <v>5</v>
      </c>
      <c r="H99" s="28">
        <v>6</v>
      </c>
      <c r="I99" s="29">
        <v>5714.7</v>
      </c>
      <c r="J99" s="29">
        <v>5731.2</v>
      </c>
      <c r="K99" s="29">
        <v>4448.5600000000004</v>
      </c>
      <c r="L99" s="30">
        <v>277</v>
      </c>
      <c r="M99" s="31">
        <f t="shared" si="6"/>
        <v>21347944.390000001</v>
      </c>
      <c r="N99" s="29">
        <v>0</v>
      </c>
      <c r="O99" s="29">
        <v>0</v>
      </c>
      <c r="P99" s="29">
        <v>0</v>
      </c>
      <c r="Q99" s="32">
        <f>'Таблица 3 '!C89</f>
        <v>21347944.390000001</v>
      </c>
      <c r="R99" s="29">
        <f t="shared" si="7"/>
        <v>21347944.390000001</v>
      </c>
      <c r="S99" s="29">
        <v>0</v>
      </c>
      <c r="T99" s="29">
        <f t="shared" si="8"/>
        <v>3724.8646688302629</v>
      </c>
      <c r="U99" s="29">
        <f t="shared" si="9"/>
        <v>3724.8646688302629</v>
      </c>
      <c r="V99" s="33" t="s">
        <v>45</v>
      </c>
    </row>
    <row r="100" spans="1:22" s="23" customFormat="1" ht="44.25" customHeight="1" x14ac:dyDescent="0.25">
      <c r="A100" s="25">
        <v>79</v>
      </c>
      <c r="B100" s="37" t="s">
        <v>153</v>
      </c>
      <c r="C100" s="25" t="s">
        <v>43</v>
      </c>
      <c r="D100" s="27" t="s">
        <v>154</v>
      </c>
      <c r="E100" s="27" t="s">
        <v>155</v>
      </c>
      <c r="F100" s="25" t="s">
        <v>48</v>
      </c>
      <c r="G100" s="28">
        <v>5</v>
      </c>
      <c r="H100" s="28">
        <v>5</v>
      </c>
      <c r="I100" s="29">
        <v>5140.6000000000004</v>
      </c>
      <c r="J100" s="29">
        <v>4624.6000000000004</v>
      </c>
      <c r="K100" s="29">
        <v>4538.8999999999996</v>
      </c>
      <c r="L100" s="30">
        <v>205</v>
      </c>
      <c r="M100" s="31">
        <f t="shared" ref="M100:M163" si="10">SUM(N100:Q100)</f>
        <v>1158255.3600000001</v>
      </c>
      <c r="N100" s="29">
        <v>0</v>
      </c>
      <c r="O100" s="29">
        <v>0</v>
      </c>
      <c r="P100" s="29">
        <v>0</v>
      </c>
      <c r="Q100" s="32">
        <f>'Таблица 3 '!C90</f>
        <v>1158255.3600000001</v>
      </c>
      <c r="R100" s="29">
        <f t="shared" ref="R100:R163" si="11">Q100</f>
        <v>1158255.3600000001</v>
      </c>
      <c r="S100" s="29">
        <v>0</v>
      </c>
      <c r="T100" s="29">
        <f t="shared" si="8"/>
        <v>250.45525234614885</v>
      </c>
      <c r="U100" s="29">
        <f t="shared" si="9"/>
        <v>250.45525234614885</v>
      </c>
      <c r="V100" s="33" t="s">
        <v>45</v>
      </c>
    </row>
    <row r="101" spans="1:22" s="23" customFormat="1" ht="44.25" customHeight="1" x14ac:dyDescent="0.25">
      <c r="A101" s="25">
        <v>80</v>
      </c>
      <c r="B101" s="26" t="s">
        <v>156</v>
      </c>
      <c r="C101" s="25" t="s">
        <v>43</v>
      </c>
      <c r="D101" s="25">
        <v>1997</v>
      </c>
      <c r="E101" s="27" t="s">
        <v>39</v>
      </c>
      <c r="F101" s="25" t="s">
        <v>77</v>
      </c>
      <c r="G101" s="28">
        <v>9</v>
      </c>
      <c r="H101" s="28">
        <v>1</v>
      </c>
      <c r="I101" s="32">
        <v>6925.2</v>
      </c>
      <c r="J101" s="32">
        <v>4721.3999999999996</v>
      </c>
      <c r="K101" s="32">
        <v>3305.8</v>
      </c>
      <c r="L101" s="35">
        <v>116</v>
      </c>
      <c r="M101" s="31">
        <f t="shared" si="10"/>
        <v>328778.56</v>
      </c>
      <c r="N101" s="29">
        <v>0</v>
      </c>
      <c r="O101" s="29">
        <v>0</v>
      </c>
      <c r="P101" s="29">
        <v>0</v>
      </c>
      <c r="Q101" s="32">
        <f>'Таблица 3 '!C91</f>
        <v>328778.56</v>
      </c>
      <c r="R101" s="29">
        <f t="shared" si="11"/>
        <v>328778.56</v>
      </c>
      <c r="S101" s="32">
        <v>0</v>
      </c>
      <c r="T101" s="29">
        <f>M101/J101</f>
        <v>69.63581988393274</v>
      </c>
      <c r="U101" s="29">
        <f>T101</f>
        <v>69.63581988393274</v>
      </c>
      <c r="V101" s="33" t="s">
        <v>45</v>
      </c>
    </row>
    <row r="102" spans="1:22" s="23" customFormat="1" ht="44.25" customHeight="1" x14ac:dyDescent="0.25">
      <c r="A102" s="25">
        <v>81</v>
      </c>
      <c r="B102" s="37" t="s">
        <v>157</v>
      </c>
      <c r="C102" s="25" t="s">
        <v>90</v>
      </c>
      <c r="D102" s="27" t="s">
        <v>158</v>
      </c>
      <c r="E102" s="27" t="s">
        <v>39</v>
      </c>
      <c r="F102" s="25" t="s">
        <v>77</v>
      </c>
      <c r="G102" s="28">
        <v>5</v>
      </c>
      <c r="H102" s="28">
        <v>4</v>
      </c>
      <c r="I102" s="29">
        <v>3047.3</v>
      </c>
      <c r="J102" s="29">
        <v>2437.84</v>
      </c>
      <c r="K102" s="29">
        <v>2437.84</v>
      </c>
      <c r="L102" s="30">
        <v>132</v>
      </c>
      <c r="M102" s="31">
        <f t="shared" si="10"/>
        <v>2601192.13</v>
      </c>
      <c r="N102" s="29">
        <v>0</v>
      </c>
      <c r="O102" s="29">
        <v>0</v>
      </c>
      <c r="P102" s="29">
        <v>0</v>
      </c>
      <c r="Q102" s="32">
        <f>'Таблица 3 '!C92</f>
        <v>2601192.13</v>
      </c>
      <c r="R102" s="29">
        <f t="shared" si="11"/>
        <v>2601192.13</v>
      </c>
      <c r="S102" s="29">
        <v>0</v>
      </c>
      <c r="T102" s="29">
        <f t="shared" si="8"/>
        <v>1067.0069118563974</v>
      </c>
      <c r="U102" s="29">
        <f t="shared" si="9"/>
        <v>1067.0069118563974</v>
      </c>
      <c r="V102" s="33" t="s">
        <v>45</v>
      </c>
    </row>
    <row r="103" spans="1:22" s="23" customFormat="1" ht="44.25" customHeight="1" x14ac:dyDescent="0.25">
      <c r="A103" s="25">
        <v>82</v>
      </c>
      <c r="B103" s="39" t="s">
        <v>159</v>
      </c>
      <c r="C103" s="25" t="s">
        <v>43</v>
      </c>
      <c r="D103" s="25">
        <v>1948</v>
      </c>
      <c r="E103" s="27" t="s">
        <v>160</v>
      </c>
      <c r="F103" s="25" t="s">
        <v>77</v>
      </c>
      <c r="G103" s="28">
        <v>2</v>
      </c>
      <c r="H103" s="28">
        <v>2</v>
      </c>
      <c r="I103" s="32">
        <v>893.5</v>
      </c>
      <c r="J103" s="32">
        <v>778.8</v>
      </c>
      <c r="K103" s="32">
        <v>546.29999999999995</v>
      </c>
      <c r="L103" s="35">
        <v>23</v>
      </c>
      <c r="M103" s="31">
        <f t="shared" si="10"/>
        <v>201141.47</v>
      </c>
      <c r="N103" s="29">
        <v>0</v>
      </c>
      <c r="O103" s="29">
        <v>0</v>
      </c>
      <c r="P103" s="29">
        <v>0</v>
      </c>
      <c r="Q103" s="32">
        <f>'Таблица 3 '!C93</f>
        <v>201141.47</v>
      </c>
      <c r="R103" s="29">
        <f t="shared" si="11"/>
        <v>201141.47</v>
      </c>
      <c r="S103" s="32">
        <v>0</v>
      </c>
      <c r="T103" s="29">
        <f t="shared" si="8"/>
        <v>258.27101951720596</v>
      </c>
      <c r="U103" s="29">
        <f t="shared" si="9"/>
        <v>258.27101951720596</v>
      </c>
      <c r="V103" s="33" t="s">
        <v>45</v>
      </c>
    </row>
    <row r="104" spans="1:22" s="23" customFormat="1" ht="44.25" customHeight="1" x14ac:dyDescent="0.25">
      <c r="A104" s="25">
        <v>83</v>
      </c>
      <c r="B104" s="37" t="s">
        <v>161</v>
      </c>
      <c r="C104" s="25" t="s">
        <v>43</v>
      </c>
      <c r="D104" s="27" t="s">
        <v>79</v>
      </c>
      <c r="E104" s="27" t="s">
        <v>70</v>
      </c>
      <c r="F104" s="25" t="s">
        <v>44</v>
      </c>
      <c r="G104" s="28">
        <v>9</v>
      </c>
      <c r="H104" s="28">
        <v>8</v>
      </c>
      <c r="I104" s="29">
        <v>5087.7</v>
      </c>
      <c r="J104" s="29">
        <v>7642.7</v>
      </c>
      <c r="K104" s="29">
        <v>6843.1</v>
      </c>
      <c r="L104" s="30">
        <v>243</v>
      </c>
      <c r="M104" s="31">
        <f t="shared" si="10"/>
        <v>352229.03</v>
      </c>
      <c r="N104" s="29">
        <v>0</v>
      </c>
      <c r="O104" s="29">
        <v>0</v>
      </c>
      <c r="P104" s="29">
        <v>0</v>
      </c>
      <c r="Q104" s="32">
        <f>'Таблица 3 '!C94</f>
        <v>352229.03</v>
      </c>
      <c r="R104" s="29">
        <f t="shared" si="11"/>
        <v>352229.03</v>
      </c>
      <c r="S104" s="29">
        <v>0</v>
      </c>
      <c r="T104" s="29">
        <f t="shared" si="8"/>
        <v>46.086988891360384</v>
      </c>
      <c r="U104" s="29">
        <f t="shared" si="9"/>
        <v>46.086988891360384</v>
      </c>
      <c r="V104" s="33" t="s">
        <v>45</v>
      </c>
    </row>
    <row r="105" spans="1:22" s="23" customFormat="1" ht="44.25" customHeight="1" x14ac:dyDescent="0.25">
      <c r="A105" s="25">
        <v>84</v>
      </c>
      <c r="B105" s="26" t="s">
        <v>162</v>
      </c>
      <c r="C105" s="25" t="s">
        <v>43</v>
      </c>
      <c r="D105" s="27" t="s">
        <v>163</v>
      </c>
      <c r="E105" s="27" t="s">
        <v>39</v>
      </c>
      <c r="F105" s="25" t="s">
        <v>44</v>
      </c>
      <c r="G105" s="28">
        <v>3</v>
      </c>
      <c r="H105" s="28">
        <v>2</v>
      </c>
      <c r="I105" s="29">
        <v>1323.6</v>
      </c>
      <c r="J105" s="29">
        <v>1087.9000000000001</v>
      </c>
      <c r="K105" s="29">
        <v>812.35</v>
      </c>
      <c r="L105" s="30">
        <v>49</v>
      </c>
      <c r="M105" s="31">
        <f t="shared" si="10"/>
        <v>5453022.4100000001</v>
      </c>
      <c r="N105" s="29">
        <v>0</v>
      </c>
      <c r="O105" s="29">
        <v>0</v>
      </c>
      <c r="P105" s="29">
        <v>0</v>
      </c>
      <c r="Q105" s="32">
        <f>'Таблица 3 '!C95</f>
        <v>5453022.4100000001</v>
      </c>
      <c r="R105" s="29">
        <f t="shared" si="11"/>
        <v>5453022.4100000001</v>
      </c>
      <c r="S105" s="29">
        <v>0</v>
      </c>
      <c r="T105" s="29">
        <f t="shared" si="8"/>
        <v>5012.4298281092006</v>
      </c>
      <c r="U105" s="29">
        <f t="shared" si="9"/>
        <v>5012.4298281092006</v>
      </c>
      <c r="V105" s="33" t="s">
        <v>45</v>
      </c>
    </row>
    <row r="106" spans="1:22" s="23" customFormat="1" ht="44.25" customHeight="1" x14ac:dyDescent="0.25">
      <c r="A106" s="25">
        <v>85</v>
      </c>
      <c r="B106" s="37" t="s">
        <v>164</v>
      </c>
      <c r="C106" s="25" t="s">
        <v>43</v>
      </c>
      <c r="D106" s="25">
        <v>1975</v>
      </c>
      <c r="E106" s="27" t="s">
        <v>39</v>
      </c>
      <c r="F106" s="25" t="s">
        <v>44</v>
      </c>
      <c r="G106" s="28">
        <v>5</v>
      </c>
      <c r="H106" s="28">
        <v>4</v>
      </c>
      <c r="I106" s="29">
        <v>3345.5</v>
      </c>
      <c r="J106" s="29">
        <v>3294.1</v>
      </c>
      <c r="K106" s="29">
        <v>3267.4</v>
      </c>
      <c r="L106" s="30">
        <v>168</v>
      </c>
      <c r="M106" s="31">
        <f t="shared" si="10"/>
        <v>6923682.1299999999</v>
      </c>
      <c r="N106" s="29">
        <v>0</v>
      </c>
      <c r="O106" s="29">
        <v>0</v>
      </c>
      <c r="P106" s="29">
        <v>0</v>
      </c>
      <c r="Q106" s="32">
        <f>'Таблица 3 '!C96</f>
        <v>6923682.1299999999</v>
      </c>
      <c r="R106" s="29">
        <f t="shared" si="11"/>
        <v>6923682.1299999999</v>
      </c>
      <c r="S106" s="29">
        <v>0</v>
      </c>
      <c r="T106" s="29">
        <f>M106/J106</f>
        <v>2101.8433350535806</v>
      </c>
      <c r="U106" s="29">
        <f>T106</f>
        <v>2101.8433350535806</v>
      </c>
      <c r="V106" s="33" t="s">
        <v>45</v>
      </c>
    </row>
    <row r="107" spans="1:22" s="23" customFormat="1" ht="44.25" customHeight="1" x14ac:dyDescent="0.25">
      <c r="A107" s="25">
        <v>86</v>
      </c>
      <c r="B107" s="37" t="s">
        <v>165</v>
      </c>
      <c r="C107" s="25" t="s">
        <v>43</v>
      </c>
      <c r="D107" s="25">
        <v>1995</v>
      </c>
      <c r="E107" s="27" t="s">
        <v>39</v>
      </c>
      <c r="F107" s="25" t="s">
        <v>48</v>
      </c>
      <c r="G107" s="28">
        <v>5</v>
      </c>
      <c r="H107" s="28">
        <v>2</v>
      </c>
      <c r="I107" s="29">
        <v>3251.9</v>
      </c>
      <c r="J107" s="29">
        <v>3251.8</v>
      </c>
      <c r="K107" s="29">
        <v>2699.7</v>
      </c>
      <c r="L107" s="30">
        <v>168</v>
      </c>
      <c r="M107" s="31">
        <f t="shared" si="10"/>
        <v>251204.61</v>
      </c>
      <c r="N107" s="29">
        <v>0</v>
      </c>
      <c r="O107" s="29">
        <v>0</v>
      </c>
      <c r="P107" s="29">
        <v>0</v>
      </c>
      <c r="Q107" s="32">
        <f>'Таблица 3 '!C97</f>
        <v>251204.61</v>
      </c>
      <c r="R107" s="29">
        <f t="shared" si="11"/>
        <v>251204.61</v>
      </c>
      <c r="S107" s="29">
        <v>0</v>
      </c>
      <c r="T107" s="29">
        <f t="shared" si="8"/>
        <v>77.250941017282727</v>
      </c>
      <c r="U107" s="29">
        <f t="shared" si="9"/>
        <v>77.250941017282727</v>
      </c>
      <c r="V107" s="33" t="s">
        <v>45</v>
      </c>
    </row>
    <row r="108" spans="1:22" s="23" customFormat="1" ht="44.25" customHeight="1" x14ac:dyDescent="0.25">
      <c r="A108" s="25">
        <v>87</v>
      </c>
      <c r="B108" s="37" t="s">
        <v>166</v>
      </c>
      <c r="C108" s="25" t="s">
        <v>43</v>
      </c>
      <c r="D108" s="25">
        <v>1973</v>
      </c>
      <c r="E108" s="27" t="s">
        <v>39</v>
      </c>
      <c r="F108" s="25" t="s">
        <v>48</v>
      </c>
      <c r="G108" s="28">
        <v>5</v>
      </c>
      <c r="H108" s="28">
        <v>4</v>
      </c>
      <c r="I108" s="29">
        <v>3549</v>
      </c>
      <c r="J108" s="29">
        <v>3519.7</v>
      </c>
      <c r="K108" s="29">
        <v>3419.1</v>
      </c>
      <c r="L108" s="30">
        <v>190</v>
      </c>
      <c r="M108" s="31">
        <f t="shared" si="10"/>
        <v>222611.13</v>
      </c>
      <c r="N108" s="29">
        <v>0</v>
      </c>
      <c r="O108" s="29">
        <v>0</v>
      </c>
      <c r="P108" s="29">
        <v>0</v>
      </c>
      <c r="Q108" s="32">
        <f>'Таблица 3 '!C98</f>
        <v>222611.13</v>
      </c>
      <c r="R108" s="29">
        <f t="shared" si="11"/>
        <v>222611.13</v>
      </c>
      <c r="S108" s="29">
        <v>0</v>
      </c>
      <c r="T108" s="29">
        <f>M108/J108</f>
        <v>63.247188680853483</v>
      </c>
      <c r="U108" s="29">
        <f>T108</f>
        <v>63.247188680853483</v>
      </c>
      <c r="V108" s="33" t="s">
        <v>45</v>
      </c>
    </row>
    <row r="109" spans="1:22" s="23" customFormat="1" ht="44.25" customHeight="1" x14ac:dyDescent="0.25">
      <c r="A109" s="25">
        <v>88</v>
      </c>
      <c r="B109" s="26" t="s">
        <v>167</v>
      </c>
      <c r="C109" s="25" t="s">
        <v>43</v>
      </c>
      <c r="D109" s="27" t="s">
        <v>168</v>
      </c>
      <c r="E109" s="27" t="s">
        <v>57</v>
      </c>
      <c r="F109" s="25" t="s">
        <v>48</v>
      </c>
      <c r="G109" s="28">
        <v>5</v>
      </c>
      <c r="H109" s="28">
        <v>6</v>
      </c>
      <c r="I109" s="29">
        <v>5767.5</v>
      </c>
      <c r="J109" s="29">
        <v>5746.7</v>
      </c>
      <c r="K109" s="29">
        <v>5568</v>
      </c>
      <c r="L109" s="30">
        <v>229</v>
      </c>
      <c r="M109" s="31">
        <f t="shared" si="10"/>
        <v>13161131.73</v>
      </c>
      <c r="N109" s="29">
        <v>0</v>
      </c>
      <c r="O109" s="29">
        <v>0</v>
      </c>
      <c r="P109" s="29">
        <v>0</v>
      </c>
      <c r="Q109" s="32">
        <f>'Таблица 3 '!C99</f>
        <v>13161131.73</v>
      </c>
      <c r="R109" s="29">
        <f t="shared" si="11"/>
        <v>13161131.73</v>
      </c>
      <c r="S109" s="29">
        <v>0</v>
      </c>
      <c r="T109" s="29">
        <f t="shared" si="8"/>
        <v>2290.2068543685941</v>
      </c>
      <c r="U109" s="29">
        <f t="shared" si="9"/>
        <v>2290.2068543685941</v>
      </c>
      <c r="V109" s="33" t="s">
        <v>45</v>
      </c>
    </row>
    <row r="110" spans="1:22" s="23" customFormat="1" ht="44.25" customHeight="1" x14ac:dyDescent="0.25">
      <c r="A110" s="25">
        <v>89</v>
      </c>
      <c r="B110" s="26" t="s">
        <v>169</v>
      </c>
      <c r="C110" s="25" t="s">
        <v>43</v>
      </c>
      <c r="D110" s="27" t="s">
        <v>170</v>
      </c>
      <c r="E110" s="27" t="s">
        <v>39</v>
      </c>
      <c r="F110" s="25" t="s">
        <v>48</v>
      </c>
      <c r="G110" s="28">
        <v>5</v>
      </c>
      <c r="H110" s="28">
        <v>6</v>
      </c>
      <c r="I110" s="29">
        <v>6841.4</v>
      </c>
      <c r="J110" s="29">
        <v>6127.9</v>
      </c>
      <c r="K110" s="29">
        <v>5500.6</v>
      </c>
      <c r="L110" s="30">
        <v>242</v>
      </c>
      <c r="M110" s="31">
        <f t="shared" si="10"/>
        <v>26573380.960000005</v>
      </c>
      <c r="N110" s="29">
        <v>0</v>
      </c>
      <c r="O110" s="29">
        <v>0</v>
      </c>
      <c r="P110" s="29">
        <v>0</v>
      </c>
      <c r="Q110" s="32">
        <f>'Таблица 3 '!C100</f>
        <v>26573380.960000005</v>
      </c>
      <c r="R110" s="29">
        <f t="shared" si="11"/>
        <v>26573380.960000005</v>
      </c>
      <c r="S110" s="29">
        <v>0</v>
      </c>
      <c r="T110" s="29">
        <f t="shared" si="8"/>
        <v>4336.4579970299783</v>
      </c>
      <c r="U110" s="29">
        <f t="shared" si="9"/>
        <v>4336.4579970299783</v>
      </c>
      <c r="V110" s="33" t="s">
        <v>45</v>
      </c>
    </row>
    <row r="111" spans="1:22" s="23" customFormat="1" ht="44.25" customHeight="1" x14ac:dyDescent="0.25">
      <c r="A111" s="25">
        <v>90</v>
      </c>
      <c r="B111" s="26" t="s">
        <v>171</v>
      </c>
      <c r="C111" s="25" t="s">
        <v>43</v>
      </c>
      <c r="D111" s="27" t="s">
        <v>168</v>
      </c>
      <c r="E111" s="27" t="s">
        <v>39</v>
      </c>
      <c r="F111" s="25" t="s">
        <v>48</v>
      </c>
      <c r="G111" s="28">
        <v>5</v>
      </c>
      <c r="H111" s="28">
        <v>6</v>
      </c>
      <c r="I111" s="29">
        <v>5866.4</v>
      </c>
      <c r="J111" s="29">
        <v>5742.8</v>
      </c>
      <c r="K111" s="29">
        <v>5272.3</v>
      </c>
      <c r="L111" s="30">
        <v>262</v>
      </c>
      <c r="M111" s="31">
        <f t="shared" si="10"/>
        <v>9264335.9600000009</v>
      </c>
      <c r="N111" s="29">
        <v>0</v>
      </c>
      <c r="O111" s="29">
        <v>0</v>
      </c>
      <c r="P111" s="29">
        <v>0</v>
      </c>
      <c r="Q111" s="32">
        <f>'Таблица 3 '!C101</f>
        <v>9264335.9600000009</v>
      </c>
      <c r="R111" s="29">
        <f t="shared" si="11"/>
        <v>9264335.9600000009</v>
      </c>
      <c r="S111" s="29">
        <v>0</v>
      </c>
      <c r="T111" s="29">
        <f t="shared" si="8"/>
        <v>1613.2088806853801</v>
      </c>
      <c r="U111" s="29">
        <f t="shared" si="9"/>
        <v>1613.2088806853801</v>
      </c>
      <c r="V111" s="33" t="s">
        <v>45</v>
      </c>
    </row>
    <row r="112" spans="1:22" s="23" customFormat="1" ht="44.25" customHeight="1" x14ac:dyDescent="0.25">
      <c r="A112" s="25">
        <v>91</v>
      </c>
      <c r="B112" s="26" t="s">
        <v>172</v>
      </c>
      <c r="C112" s="25" t="s">
        <v>43</v>
      </c>
      <c r="D112" s="27" t="s">
        <v>173</v>
      </c>
      <c r="E112" s="27" t="s">
        <v>39</v>
      </c>
      <c r="F112" s="25" t="s">
        <v>48</v>
      </c>
      <c r="G112" s="28">
        <v>5</v>
      </c>
      <c r="H112" s="28">
        <v>4</v>
      </c>
      <c r="I112" s="29">
        <v>3829.3</v>
      </c>
      <c r="J112" s="29">
        <v>3827.9</v>
      </c>
      <c r="K112" s="29">
        <v>3677.7</v>
      </c>
      <c r="L112" s="30">
        <v>171</v>
      </c>
      <c r="M112" s="31">
        <f t="shared" si="10"/>
        <v>5782289.3100000005</v>
      </c>
      <c r="N112" s="29">
        <v>0</v>
      </c>
      <c r="O112" s="29">
        <v>0</v>
      </c>
      <c r="P112" s="29">
        <v>0</v>
      </c>
      <c r="Q112" s="32">
        <f>'Таблица 3 '!C102</f>
        <v>5782289.3100000005</v>
      </c>
      <c r="R112" s="29">
        <f t="shared" si="11"/>
        <v>5782289.3100000005</v>
      </c>
      <c r="S112" s="29">
        <v>0</v>
      </c>
      <c r="T112" s="29">
        <f t="shared" si="8"/>
        <v>1510.5643590480422</v>
      </c>
      <c r="U112" s="29">
        <f t="shared" si="9"/>
        <v>1510.5643590480422</v>
      </c>
      <c r="V112" s="33" t="s">
        <v>45</v>
      </c>
    </row>
    <row r="113" spans="1:23" s="23" customFormat="1" ht="44.25" customHeight="1" x14ac:dyDescent="0.25">
      <c r="A113" s="25">
        <v>92</v>
      </c>
      <c r="B113" s="26" t="s">
        <v>174</v>
      </c>
      <c r="C113" s="25" t="s">
        <v>43</v>
      </c>
      <c r="D113" s="25">
        <v>1978</v>
      </c>
      <c r="E113" s="27" t="s">
        <v>39</v>
      </c>
      <c r="F113" s="25" t="s">
        <v>77</v>
      </c>
      <c r="G113" s="28">
        <v>5</v>
      </c>
      <c r="H113" s="28">
        <v>4</v>
      </c>
      <c r="I113" s="32">
        <v>3312.2</v>
      </c>
      <c r="J113" s="32">
        <v>3374</v>
      </c>
      <c r="K113" s="32">
        <v>3160.4</v>
      </c>
      <c r="L113" s="35">
        <v>124</v>
      </c>
      <c r="M113" s="31">
        <f t="shared" si="10"/>
        <v>1377774.6800000002</v>
      </c>
      <c r="N113" s="29">
        <v>0</v>
      </c>
      <c r="O113" s="29">
        <v>0</v>
      </c>
      <c r="P113" s="29">
        <v>0</v>
      </c>
      <c r="Q113" s="32">
        <f>'Таблица 3 '!C103</f>
        <v>1377774.6800000002</v>
      </c>
      <c r="R113" s="29">
        <f t="shared" si="11"/>
        <v>1377774.6800000002</v>
      </c>
      <c r="S113" s="32">
        <v>0</v>
      </c>
      <c r="T113" s="29">
        <f t="shared" ref="T113:T115" si="12">M113/J113</f>
        <v>408.35052756372261</v>
      </c>
      <c r="U113" s="29">
        <f t="shared" ref="U113:U115" si="13">T113</f>
        <v>408.35052756372261</v>
      </c>
      <c r="V113" s="33" t="s">
        <v>45</v>
      </c>
    </row>
    <row r="114" spans="1:23" s="40" customFormat="1" ht="44.25" customHeight="1" x14ac:dyDescent="0.25">
      <c r="A114" s="25">
        <v>93</v>
      </c>
      <c r="B114" s="26" t="s">
        <v>175</v>
      </c>
      <c r="C114" s="25" t="s">
        <v>43</v>
      </c>
      <c r="D114" s="27" t="s">
        <v>176</v>
      </c>
      <c r="E114" s="27" t="s">
        <v>57</v>
      </c>
      <c r="F114" s="25" t="s">
        <v>48</v>
      </c>
      <c r="G114" s="28">
        <v>5</v>
      </c>
      <c r="H114" s="28">
        <v>4</v>
      </c>
      <c r="I114" s="29">
        <v>6254.5</v>
      </c>
      <c r="J114" s="29">
        <v>4492.7</v>
      </c>
      <c r="K114" s="29">
        <v>2712</v>
      </c>
      <c r="L114" s="30">
        <v>208</v>
      </c>
      <c r="M114" s="31">
        <f t="shared" si="10"/>
        <v>14706691.49</v>
      </c>
      <c r="N114" s="29">
        <v>0</v>
      </c>
      <c r="O114" s="29">
        <v>0</v>
      </c>
      <c r="P114" s="29">
        <v>0</v>
      </c>
      <c r="Q114" s="32">
        <f>'Таблица 3 '!C104</f>
        <v>14706691.49</v>
      </c>
      <c r="R114" s="29">
        <f t="shared" si="11"/>
        <v>14706691.49</v>
      </c>
      <c r="S114" s="29">
        <v>0</v>
      </c>
      <c r="T114" s="29">
        <f t="shared" si="12"/>
        <v>3273.4639504084407</v>
      </c>
      <c r="U114" s="29">
        <f t="shared" si="13"/>
        <v>3273.4639504084407</v>
      </c>
      <c r="V114" s="33" t="s">
        <v>45</v>
      </c>
      <c r="W114" s="23"/>
    </row>
    <row r="115" spans="1:23" s="40" customFormat="1" ht="44.25" customHeight="1" x14ac:dyDescent="0.25">
      <c r="A115" s="25">
        <v>94</v>
      </c>
      <c r="B115" s="26" t="s">
        <v>177</v>
      </c>
      <c r="C115" s="25" t="s">
        <v>43</v>
      </c>
      <c r="D115" s="27">
        <v>1979</v>
      </c>
      <c r="E115" s="27" t="s">
        <v>39</v>
      </c>
      <c r="F115" s="25" t="s">
        <v>48</v>
      </c>
      <c r="G115" s="28">
        <v>5</v>
      </c>
      <c r="H115" s="28">
        <v>4</v>
      </c>
      <c r="I115" s="29">
        <v>4731.8999999999996</v>
      </c>
      <c r="J115" s="29">
        <v>3440.9</v>
      </c>
      <c r="K115" s="29">
        <v>3396.4</v>
      </c>
      <c r="L115" s="30">
        <v>172</v>
      </c>
      <c r="M115" s="31">
        <f t="shared" si="10"/>
        <v>249341.12</v>
      </c>
      <c r="N115" s="29">
        <v>0</v>
      </c>
      <c r="O115" s="29">
        <v>0</v>
      </c>
      <c r="P115" s="29">
        <v>0</v>
      </c>
      <c r="Q115" s="32">
        <f>'Таблица 3 '!C105</f>
        <v>249341.12</v>
      </c>
      <c r="R115" s="29">
        <f t="shared" si="11"/>
        <v>249341.12</v>
      </c>
      <c r="S115" s="29">
        <v>0</v>
      </c>
      <c r="T115" s="29">
        <f t="shared" si="12"/>
        <v>72.463925135865608</v>
      </c>
      <c r="U115" s="29">
        <f t="shared" si="13"/>
        <v>72.463925135865608</v>
      </c>
      <c r="V115" s="33" t="s">
        <v>45</v>
      </c>
      <c r="W115" s="23"/>
    </row>
    <row r="116" spans="1:23" s="23" customFormat="1" ht="44.25" customHeight="1" x14ac:dyDescent="0.25">
      <c r="A116" s="25">
        <v>95</v>
      </c>
      <c r="B116" s="26" t="s">
        <v>178</v>
      </c>
      <c r="C116" s="25" t="s">
        <v>43</v>
      </c>
      <c r="D116" s="25">
        <v>1977</v>
      </c>
      <c r="E116" s="27" t="s">
        <v>70</v>
      </c>
      <c r="F116" s="25" t="s">
        <v>48</v>
      </c>
      <c r="G116" s="28">
        <v>5</v>
      </c>
      <c r="H116" s="28">
        <v>4</v>
      </c>
      <c r="I116" s="29">
        <v>4698.3</v>
      </c>
      <c r="J116" s="29">
        <v>3682.8</v>
      </c>
      <c r="K116" s="29">
        <v>3587.1</v>
      </c>
      <c r="L116" s="30">
        <v>86</v>
      </c>
      <c r="M116" s="31">
        <f t="shared" si="10"/>
        <v>2901295.61</v>
      </c>
      <c r="N116" s="29">
        <v>0</v>
      </c>
      <c r="O116" s="29">
        <v>0</v>
      </c>
      <c r="P116" s="29">
        <v>0</v>
      </c>
      <c r="Q116" s="32">
        <f>'Таблица 3 '!C106</f>
        <v>2901295.61</v>
      </c>
      <c r="R116" s="29">
        <f t="shared" si="11"/>
        <v>2901295.61</v>
      </c>
      <c r="S116" s="29">
        <v>0</v>
      </c>
      <c r="T116" s="29">
        <f t="shared" si="8"/>
        <v>787.79613609210378</v>
      </c>
      <c r="U116" s="29">
        <f t="shared" si="9"/>
        <v>787.79613609210378</v>
      </c>
      <c r="V116" s="33" t="s">
        <v>45</v>
      </c>
    </row>
    <row r="117" spans="1:23" s="23" customFormat="1" ht="44.25" customHeight="1" x14ac:dyDescent="0.25">
      <c r="A117" s="25">
        <v>96</v>
      </c>
      <c r="B117" s="34" t="s">
        <v>179</v>
      </c>
      <c r="C117" s="25" t="s">
        <v>43</v>
      </c>
      <c r="D117" s="25">
        <v>1973</v>
      </c>
      <c r="E117" s="27" t="s">
        <v>39</v>
      </c>
      <c r="F117" s="25" t="s">
        <v>48</v>
      </c>
      <c r="G117" s="28">
        <v>5</v>
      </c>
      <c r="H117" s="28">
        <v>4</v>
      </c>
      <c r="I117" s="29">
        <v>4374.1000000000004</v>
      </c>
      <c r="J117" s="29">
        <v>3351.7</v>
      </c>
      <c r="K117" s="29">
        <v>3236</v>
      </c>
      <c r="L117" s="30">
        <v>73</v>
      </c>
      <c r="M117" s="31">
        <f t="shared" si="10"/>
        <v>272569.13</v>
      </c>
      <c r="N117" s="29">
        <v>0</v>
      </c>
      <c r="O117" s="29">
        <v>0</v>
      </c>
      <c r="P117" s="29">
        <v>0</v>
      </c>
      <c r="Q117" s="32">
        <f>'Таблица 3 '!C107</f>
        <v>272569.13</v>
      </c>
      <c r="R117" s="29">
        <f t="shared" si="11"/>
        <v>272569.13</v>
      </c>
      <c r="S117" s="32">
        <v>0</v>
      </c>
      <c r="T117" s="29">
        <f>M117/J117</f>
        <v>81.322651191932465</v>
      </c>
      <c r="U117" s="29">
        <f>T117</f>
        <v>81.322651191932465</v>
      </c>
      <c r="V117" s="33" t="s">
        <v>45</v>
      </c>
    </row>
    <row r="118" spans="1:23" s="23" customFormat="1" ht="44.25" customHeight="1" x14ac:dyDescent="0.25">
      <c r="A118" s="25">
        <v>97</v>
      </c>
      <c r="B118" s="26" t="s">
        <v>180</v>
      </c>
      <c r="C118" s="25" t="s">
        <v>43</v>
      </c>
      <c r="D118" s="25">
        <v>1991</v>
      </c>
      <c r="E118" s="27" t="s">
        <v>39</v>
      </c>
      <c r="F118" s="25" t="s">
        <v>48</v>
      </c>
      <c r="G118" s="28">
        <v>5</v>
      </c>
      <c r="H118" s="28">
        <v>3</v>
      </c>
      <c r="I118" s="29">
        <v>3716.3</v>
      </c>
      <c r="J118" s="29">
        <v>3305.9</v>
      </c>
      <c r="K118" s="29">
        <v>3219.8</v>
      </c>
      <c r="L118" s="30">
        <v>145</v>
      </c>
      <c r="M118" s="31">
        <f t="shared" si="10"/>
        <v>285156.96999999997</v>
      </c>
      <c r="N118" s="29">
        <v>0</v>
      </c>
      <c r="O118" s="29">
        <v>0</v>
      </c>
      <c r="P118" s="29">
        <v>0</v>
      </c>
      <c r="Q118" s="32">
        <f>'Таблица 3 '!C108</f>
        <v>285156.96999999997</v>
      </c>
      <c r="R118" s="29">
        <f t="shared" si="11"/>
        <v>285156.96999999997</v>
      </c>
      <c r="S118" s="29">
        <v>0</v>
      </c>
      <c r="T118" s="29">
        <f t="shared" si="8"/>
        <v>86.256985994736667</v>
      </c>
      <c r="U118" s="29">
        <f t="shared" si="9"/>
        <v>86.256985994736667</v>
      </c>
      <c r="V118" s="33" t="s">
        <v>45</v>
      </c>
    </row>
    <row r="119" spans="1:23" s="23" customFormat="1" ht="44.25" customHeight="1" x14ac:dyDescent="0.25">
      <c r="A119" s="25">
        <v>98</v>
      </c>
      <c r="B119" s="26" t="s">
        <v>181</v>
      </c>
      <c r="C119" s="25" t="s">
        <v>43</v>
      </c>
      <c r="D119" s="27" t="s">
        <v>182</v>
      </c>
      <c r="E119" s="27" t="s">
        <v>70</v>
      </c>
      <c r="F119" s="25" t="s">
        <v>48</v>
      </c>
      <c r="G119" s="28">
        <v>5</v>
      </c>
      <c r="H119" s="28">
        <v>3</v>
      </c>
      <c r="I119" s="29">
        <v>3663.6</v>
      </c>
      <c r="J119" s="29">
        <v>3331.5</v>
      </c>
      <c r="K119" s="29">
        <v>2937</v>
      </c>
      <c r="L119" s="30">
        <v>126</v>
      </c>
      <c r="M119" s="31">
        <f t="shared" si="10"/>
        <v>2290444.2999999998</v>
      </c>
      <c r="N119" s="29">
        <v>0</v>
      </c>
      <c r="O119" s="29">
        <v>0</v>
      </c>
      <c r="P119" s="29">
        <v>0</v>
      </c>
      <c r="Q119" s="32">
        <f>'Таблица 3 '!C109</f>
        <v>2290444.2999999998</v>
      </c>
      <c r="R119" s="29">
        <f t="shared" si="11"/>
        <v>2290444.2999999998</v>
      </c>
      <c r="S119" s="29">
        <v>0</v>
      </c>
      <c r="T119" s="29">
        <f t="shared" si="8"/>
        <v>687.51142128170488</v>
      </c>
      <c r="U119" s="29">
        <f t="shared" si="9"/>
        <v>687.51142128170488</v>
      </c>
      <c r="V119" s="33" t="s">
        <v>45</v>
      </c>
    </row>
    <row r="120" spans="1:23" s="23" customFormat="1" ht="44.25" customHeight="1" x14ac:dyDescent="0.25">
      <c r="A120" s="25">
        <v>99</v>
      </c>
      <c r="B120" s="26" t="s">
        <v>183</v>
      </c>
      <c r="C120" s="25" t="s">
        <v>43</v>
      </c>
      <c r="D120" s="27" t="s">
        <v>137</v>
      </c>
      <c r="E120" s="27" t="s">
        <v>39</v>
      </c>
      <c r="F120" s="25" t="s">
        <v>44</v>
      </c>
      <c r="G120" s="28">
        <v>5</v>
      </c>
      <c r="H120" s="28">
        <v>4</v>
      </c>
      <c r="I120" s="29">
        <v>3373</v>
      </c>
      <c r="J120" s="29">
        <v>3359.8</v>
      </c>
      <c r="K120" s="29">
        <v>3152.1</v>
      </c>
      <c r="L120" s="30">
        <v>175</v>
      </c>
      <c r="M120" s="31">
        <f t="shared" si="10"/>
        <v>8786046.040000001</v>
      </c>
      <c r="N120" s="29">
        <v>0</v>
      </c>
      <c r="O120" s="29">
        <v>0</v>
      </c>
      <c r="P120" s="29">
        <v>0</v>
      </c>
      <c r="Q120" s="32">
        <f>'Таблица 3 '!C110</f>
        <v>8786046.040000001</v>
      </c>
      <c r="R120" s="29">
        <f t="shared" si="11"/>
        <v>8786046.040000001</v>
      </c>
      <c r="S120" s="29">
        <v>0</v>
      </c>
      <c r="T120" s="29">
        <f t="shared" si="8"/>
        <v>2615.0503125186024</v>
      </c>
      <c r="U120" s="29">
        <f t="shared" si="9"/>
        <v>2615.0503125186024</v>
      </c>
      <c r="V120" s="33" t="s">
        <v>45</v>
      </c>
    </row>
    <row r="121" spans="1:23" s="23" customFormat="1" ht="44.25" customHeight="1" x14ac:dyDescent="0.25">
      <c r="A121" s="25">
        <v>100</v>
      </c>
      <c r="B121" s="26" t="s">
        <v>184</v>
      </c>
      <c r="C121" s="25" t="s">
        <v>43</v>
      </c>
      <c r="D121" s="25">
        <v>1964</v>
      </c>
      <c r="E121" s="27" t="s">
        <v>39</v>
      </c>
      <c r="F121" s="25" t="s">
        <v>44</v>
      </c>
      <c r="G121" s="28">
        <v>2</v>
      </c>
      <c r="H121" s="28">
        <v>1</v>
      </c>
      <c r="I121" s="29">
        <v>297.5</v>
      </c>
      <c r="J121" s="29">
        <v>297.5</v>
      </c>
      <c r="K121" s="29">
        <v>221</v>
      </c>
      <c r="L121" s="30">
        <v>20</v>
      </c>
      <c r="M121" s="31">
        <f t="shared" si="10"/>
        <v>163729.57999999999</v>
      </c>
      <c r="N121" s="29">
        <v>0</v>
      </c>
      <c r="O121" s="29">
        <v>0</v>
      </c>
      <c r="P121" s="29">
        <v>0</v>
      </c>
      <c r="Q121" s="32">
        <f>'Таблица 3 '!C111</f>
        <v>163729.57999999999</v>
      </c>
      <c r="R121" s="29">
        <f t="shared" si="11"/>
        <v>163729.57999999999</v>
      </c>
      <c r="S121" s="29">
        <v>0</v>
      </c>
      <c r="T121" s="29">
        <f t="shared" si="8"/>
        <v>550.35152941176466</v>
      </c>
      <c r="U121" s="29">
        <f t="shared" si="9"/>
        <v>550.35152941176466</v>
      </c>
      <c r="V121" s="33" t="s">
        <v>45</v>
      </c>
    </row>
    <row r="122" spans="1:23" s="23" customFormat="1" ht="44.25" customHeight="1" x14ac:dyDescent="0.25">
      <c r="A122" s="25">
        <v>101</v>
      </c>
      <c r="B122" s="26" t="s">
        <v>185</v>
      </c>
      <c r="C122" s="25" t="s">
        <v>43</v>
      </c>
      <c r="D122" s="25">
        <v>1963</v>
      </c>
      <c r="E122" s="27" t="s">
        <v>39</v>
      </c>
      <c r="F122" s="25" t="s">
        <v>44</v>
      </c>
      <c r="G122" s="28">
        <v>2</v>
      </c>
      <c r="H122" s="28">
        <v>2</v>
      </c>
      <c r="I122" s="29">
        <v>632.29999999999995</v>
      </c>
      <c r="J122" s="29">
        <v>633</v>
      </c>
      <c r="K122" s="29">
        <v>630.79999999999995</v>
      </c>
      <c r="L122" s="30">
        <v>28</v>
      </c>
      <c r="M122" s="31">
        <f t="shared" si="10"/>
        <v>220295.2</v>
      </c>
      <c r="N122" s="29">
        <v>0</v>
      </c>
      <c r="O122" s="29">
        <v>0</v>
      </c>
      <c r="P122" s="29">
        <v>0</v>
      </c>
      <c r="Q122" s="32">
        <f>'Таблица 3 '!C112</f>
        <v>220295.2</v>
      </c>
      <c r="R122" s="29">
        <f t="shared" si="11"/>
        <v>220295.2</v>
      </c>
      <c r="S122" s="29">
        <v>0</v>
      </c>
      <c r="T122" s="29">
        <f>M122/J122</f>
        <v>348.01769352290682</v>
      </c>
      <c r="U122" s="29">
        <f>T122</f>
        <v>348.01769352290682</v>
      </c>
      <c r="V122" s="33" t="s">
        <v>45</v>
      </c>
    </row>
    <row r="123" spans="1:23" s="23" customFormat="1" ht="44.25" customHeight="1" x14ac:dyDescent="0.25">
      <c r="A123" s="25">
        <v>102</v>
      </c>
      <c r="B123" s="26" t="s">
        <v>186</v>
      </c>
      <c r="C123" s="25" t="s">
        <v>43</v>
      </c>
      <c r="D123" s="25">
        <v>1993</v>
      </c>
      <c r="E123" s="27" t="s">
        <v>50</v>
      </c>
      <c r="F123" s="25" t="s">
        <v>48</v>
      </c>
      <c r="G123" s="28">
        <v>7</v>
      </c>
      <c r="H123" s="28">
        <v>2</v>
      </c>
      <c r="I123" s="29">
        <v>3265.3</v>
      </c>
      <c r="J123" s="29">
        <v>2587.9</v>
      </c>
      <c r="K123" s="29">
        <v>2529.9</v>
      </c>
      <c r="L123" s="30">
        <v>68</v>
      </c>
      <c r="M123" s="31">
        <f t="shared" si="10"/>
        <v>5559673.54</v>
      </c>
      <c r="N123" s="29">
        <v>0</v>
      </c>
      <c r="O123" s="29">
        <v>0</v>
      </c>
      <c r="P123" s="29">
        <v>0</v>
      </c>
      <c r="Q123" s="32">
        <f>'Таблица 3 '!C113</f>
        <v>5559673.54</v>
      </c>
      <c r="R123" s="29">
        <f t="shared" si="11"/>
        <v>5559673.54</v>
      </c>
      <c r="S123" s="29">
        <v>0</v>
      </c>
      <c r="T123" s="29">
        <f t="shared" si="8"/>
        <v>2148.3339928127052</v>
      </c>
      <c r="U123" s="29">
        <f t="shared" si="9"/>
        <v>2148.3339928127052</v>
      </c>
      <c r="V123" s="33" t="s">
        <v>45</v>
      </c>
    </row>
    <row r="124" spans="1:23" s="23" customFormat="1" ht="44.25" customHeight="1" x14ac:dyDescent="0.25">
      <c r="A124" s="25">
        <v>103</v>
      </c>
      <c r="B124" s="26" t="s">
        <v>187</v>
      </c>
      <c r="C124" s="25" t="s">
        <v>43</v>
      </c>
      <c r="D124" s="27" t="s">
        <v>176</v>
      </c>
      <c r="E124" s="27" t="s">
        <v>60</v>
      </c>
      <c r="F124" s="25" t="s">
        <v>48</v>
      </c>
      <c r="G124" s="28">
        <v>10</v>
      </c>
      <c r="H124" s="28">
        <v>2</v>
      </c>
      <c r="I124" s="29">
        <v>4338.6000000000004</v>
      </c>
      <c r="J124" s="29">
        <v>4275.2</v>
      </c>
      <c r="K124" s="29">
        <v>4036.4</v>
      </c>
      <c r="L124" s="30">
        <v>142</v>
      </c>
      <c r="M124" s="31">
        <f t="shared" si="10"/>
        <v>6562018.6600000001</v>
      </c>
      <c r="N124" s="29">
        <v>0</v>
      </c>
      <c r="O124" s="29">
        <v>0</v>
      </c>
      <c r="P124" s="29">
        <v>0</v>
      </c>
      <c r="Q124" s="32">
        <f>'Таблица 3 '!C114</f>
        <v>6562018.6600000001</v>
      </c>
      <c r="R124" s="29">
        <f t="shared" si="11"/>
        <v>6562018.6600000001</v>
      </c>
      <c r="S124" s="29">
        <v>0</v>
      </c>
      <c r="T124" s="29">
        <f t="shared" si="8"/>
        <v>1534.9033168038923</v>
      </c>
      <c r="U124" s="29">
        <f t="shared" si="9"/>
        <v>1534.9033168038923</v>
      </c>
      <c r="V124" s="33" t="s">
        <v>45</v>
      </c>
    </row>
    <row r="125" spans="1:23" s="23" customFormat="1" ht="44.25" customHeight="1" x14ac:dyDescent="0.25">
      <c r="A125" s="25">
        <v>104</v>
      </c>
      <c r="B125" s="26" t="s">
        <v>188</v>
      </c>
      <c r="C125" s="25" t="s">
        <v>43</v>
      </c>
      <c r="D125" s="25">
        <v>1990</v>
      </c>
      <c r="E125" s="27" t="s">
        <v>47</v>
      </c>
      <c r="F125" s="25" t="s">
        <v>48</v>
      </c>
      <c r="G125" s="28">
        <v>9</v>
      </c>
      <c r="H125" s="28">
        <v>3</v>
      </c>
      <c r="I125" s="32">
        <v>7590.2</v>
      </c>
      <c r="J125" s="32">
        <v>7326.5</v>
      </c>
      <c r="K125" s="32">
        <v>7397.9</v>
      </c>
      <c r="L125" s="35">
        <v>298</v>
      </c>
      <c r="M125" s="31">
        <f t="shared" si="10"/>
        <v>5559998.6600000001</v>
      </c>
      <c r="N125" s="29">
        <v>0</v>
      </c>
      <c r="O125" s="29">
        <v>0</v>
      </c>
      <c r="P125" s="29">
        <v>0</v>
      </c>
      <c r="Q125" s="32">
        <f>'Таблица 3 '!C115</f>
        <v>5559998.6600000001</v>
      </c>
      <c r="R125" s="29">
        <f t="shared" si="11"/>
        <v>5559998.6600000001</v>
      </c>
      <c r="S125" s="32">
        <v>0</v>
      </c>
      <c r="T125" s="29">
        <f t="shared" ref="T125:T126" si="14">M125/J125</f>
        <v>758.88878181942266</v>
      </c>
      <c r="U125" s="29">
        <f t="shared" ref="U125:U126" si="15">T125</f>
        <v>758.88878181942266</v>
      </c>
      <c r="V125" s="33" t="s">
        <v>45</v>
      </c>
    </row>
    <row r="126" spans="1:23" s="23" customFormat="1" ht="44.25" customHeight="1" x14ac:dyDescent="0.25">
      <c r="A126" s="25">
        <v>105</v>
      </c>
      <c r="B126" s="26" t="s">
        <v>189</v>
      </c>
      <c r="C126" s="25" t="s">
        <v>43</v>
      </c>
      <c r="D126" s="27" t="s">
        <v>152</v>
      </c>
      <c r="E126" s="27" t="s">
        <v>50</v>
      </c>
      <c r="F126" s="25" t="s">
        <v>48</v>
      </c>
      <c r="G126" s="28">
        <v>5</v>
      </c>
      <c r="H126" s="28">
        <v>6</v>
      </c>
      <c r="I126" s="29">
        <v>6587.8</v>
      </c>
      <c r="J126" s="29">
        <v>4864.3</v>
      </c>
      <c r="K126" s="29">
        <v>4410.8999999999996</v>
      </c>
      <c r="L126" s="30">
        <v>208</v>
      </c>
      <c r="M126" s="31">
        <f t="shared" si="10"/>
        <v>200350.98</v>
      </c>
      <c r="N126" s="29">
        <v>0</v>
      </c>
      <c r="O126" s="29">
        <v>0</v>
      </c>
      <c r="P126" s="29">
        <v>0</v>
      </c>
      <c r="Q126" s="32">
        <f>'Таблица 3 '!C116</f>
        <v>200350.98</v>
      </c>
      <c r="R126" s="29">
        <f t="shared" si="11"/>
        <v>200350.98</v>
      </c>
      <c r="S126" s="29">
        <v>0</v>
      </c>
      <c r="T126" s="29">
        <f t="shared" si="14"/>
        <v>41.188039389017945</v>
      </c>
      <c r="U126" s="29">
        <f t="shared" si="15"/>
        <v>41.188039389017945</v>
      </c>
      <c r="V126" s="33" t="s">
        <v>45</v>
      </c>
    </row>
    <row r="127" spans="1:23" s="23" customFormat="1" ht="44.25" customHeight="1" x14ac:dyDescent="0.25">
      <c r="A127" s="25">
        <v>106</v>
      </c>
      <c r="B127" s="26" t="s">
        <v>190</v>
      </c>
      <c r="C127" s="25" t="s">
        <v>43</v>
      </c>
      <c r="D127" s="25">
        <v>1980</v>
      </c>
      <c r="E127" s="27" t="s">
        <v>39</v>
      </c>
      <c r="F127" s="25" t="s">
        <v>48</v>
      </c>
      <c r="G127" s="28">
        <v>5</v>
      </c>
      <c r="H127" s="28">
        <v>6</v>
      </c>
      <c r="I127" s="29">
        <v>6577.9</v>
      </c>
      <c r="J127" s="29">
        <v>5706.9</v>
      </c>
      <c r="K127" s="29">
        <v>5085.5</v>
      </c>
      <c r="L127" s="30">
        <v>210</v>
      </c>
      <c r="M127" s="31">
        <f t="shared" si="10"/>
        <v>17165455</v>
      </c>
      <c r="N127" s="29">
        <v>0</v>
      </c>
      <c r="O127" s="29">
        <v>0</v>
      </c>
      <c r="P127" s="29">
        <v>0</v>
      </c>
      <c r="Q127" s="32">
        <f>'Таблица 3 '!C117</f>
        <v>17165455</v>
      </c>
      <c r="R127" s="29">
        <f t="shared" si="11"/>
        <v>17165455</v>
      </c>
      <c r="S127" s="29">
        <v>0</v>
      </c>
      <c r="T127" s="29">
        <f t="shared" si="8"/>
        <v>3007.842261122501</v>
      </c>
      <c r="U127" s="29">
        <f t="shared" si="9"/>
        <v>3007.842261122501</v>
      </c>
      <c r="V127" s="33" t="s">
        <v>45</v>
      </c>
    </row>
    <row r="128" spans="1:23" s="23" customFormat="1" ht="44.25" customHeight="1" x14ac:dyDescent="0.25">
      <c r="A128" s="25">
        <v>107</v>
      </c>
      <c r="B128" s="26" t="s">
        <v>191</v>
      </c>
      <c r="C128" s="25" t="s">
        <v>43</v>
      </c>
      <c r="D128" s="25">
        <v>1960</v>
      </c>
      <c r="E128" s="27" t="s">
        <v>39</v>
      </c>
      <c r="F128" s="25" t="s">
        <v>44</v>
      </c>
      <c r="G128" s="28">
        <v>2</v>
      </c>
      <c r="H128" s="28">
        <v>1</v>
      </c>
      <c r="I128" s="29">
        <v>288.8</v>
      </c>
      <c r="J128" s="29">
        <v>230</v>
      </c>
      <c r="K128" s="29">
        <v>263.10000000000002</v>
      </c>
      <c r="L128" s="30">
        <v>13</v>
      </c>
      <c r="M128" s="31">
        <f t="shared" si="10"/>
        <v>189520</v>
      </c>
      <c r="N128" s="29">
        <v>0</v>
      </c>
      <c r="O128" s="29">
        <v>0</v>
      </c>
      <c r="P128" s="29">
        <v>0</v>
      </c>
      <c r="Q128" s="32">
        <f>'Таблица 3 '!C118</f>
        <v>189520</v>
      </c>
      <c r="R128" s="29">
        <f t="shared" si="11"/>
        <v>189520</v>
      </c>
      <c r="S128" s="29">
        <v>0</v>
      </c>
      <c r="T128" s="29">
        <f t="shared" si="8"/>
        <v>824</v>
      </c>
      <c r="U128" s="29">
        <f t="shared" si="9"/>
        <v>824</v>
      </c>
      <c r="V128" s="33" t="s">
        <v>45</v>
      </c>
    </row>
    <row r="129" spans="1:22" s="23" customFormat="1" ht="44.25" customHeight="1" x14ac:dyDescent="0.25">
      <c r="A129" s="25">
        <v>108</v>
      </c>
      <c r="B129" s="26" t="s">
        <v>192</v>
      </c>
      <c r="C129" s="25" t="s">
        <v>43</v>
      </c>
      <c r="D129" s="25">
        <v>1975</v>
      </c>
      <c r="E129" s="27" t="s">
        <v>39</v>
      </c>
      <c r="F129" s="25" t="s">
        <v>77</v>
      </c>
      <c r="G129" s="28">
        <v>2</v>
      </c>
      <c r="H129" s="28">
        <v>2</v>
      </c>
      <c r="I129" s="32">
        <v>1005.1</v>
      </c>
      <c r="J129" s="32">
        <v>917.4</v>
      </c>
      <c r="K129" s="32">
        <v>640</v>
      </c>
      <c r="L129" s="35">
        <v>41</v>
      </c>
      <c r="M129" s="31">
        <f t="shared" si="10"/>
        <v>221624.47</v>
      </c>
      <c r="N129" s="29">
        <v>0</v>
      </c>
      <c r="O129" s="29">
        <v>0</v>
      </c>
      <c r="P129" s="29">
        <v>0</v>
      </c>
      <c r="Q129" s="32">
        <f>'Таблица 3 '!C119</f>
        <v>221624.47</v>
      </c>
      <c r="R129" s="29">
        <f t="shared" si="11"/>
        <v>221624.47</v>
      </c>
      <c r="S129" s="32">
        <v>0</v>
      </c>
      <c r="T129" s="29">
        <f>M129/J129</f>
        <v>241.57888598212341</v>
      </c>
      <c r="U129" s="29">
        <f>T129</f>
        <v>241.57888598212341</v>
      </c>
      <c r="V129" s="33" t="s">
        <v>45</v>
      </c>
    </row>
    <row r="130" spans="1:22" s="23" customFormat="1" ht="44.25" customHeight="1" x14ac:dyDescent="0.25">
      <c r="A130" s="25">
        <v>109</v>
      </c>
      <c r="B130" s="37" t="s">
        <v>193</v>
      </c>
      <c r="C130" s="25" t="s">
        <v>43</v>
      </c>
      <c r="D130" s="27" t="s">
        <v>170</v>
      </c>
      <c r="E130" s="27" t="s">
        <v>50</v>
      </c>
      <c r="F130" s="25" t="s">
        <v>44</v>
      </c>
      <c r="G130" s="28">
        <v>5</v>
      </c>
      <c r="H130" s="28">
        <v>4</v>
      </c>
      <c r="I130" s="29">
        <v>3726.8</v>
      </c>
      <c r="J130" s="29">
        <v>3165.4</v>
      </c>
      <c r="K130" s="29">
        <v>2711.7</v>
      </c>
      <c r="L130" s="30">
        <v>116</v>
      </c>
      <c r="M130" s="31">
        <f t="shared" si="10"/>
        <v>6353757.7700000014</v>
      </c>
      <c r="N130" s="29">
        <v>0</v>
      </c>
      <c r="O130" s="29">
        <v>0</v>
      </c>
      <c r="P130" s="29">
        <v>0</v>
      </c>
      <c r="Q130" s="32">
        <f>'Таблица 3 '!C120</f>
        <v>6353757.7700000014</v>
      </c>
      <c r="R130" s="29">
        <f t="shared" si="11"/>
        <v>6353757.7700000014</v>
      </c>
      <c r="S130" s="29">
        <v>0</v>
      </c>
      <c r="T130" s="29">
        <f t="shared" si="8"/>
        <v>2007.2527231945414</v>
      </c>
      <c r="U130" s="29">
        <f t="shared" si="9"/>
        <v>2007.2527231945414</v>
      </c>
      <c r="V130" s="33" t="s">
        <v>45</v>
      </c>
    </row>
    <row r="131" spans="1:22" s="23" customFormat="1" ht="44.25" customHeight="1" x14ac:dyDescent="0.25">
      <c r="A131" s="25">
        <v>110</v>
      </c>
      <c r="B131" s="36" t="s">
        <v>194</v>
      </c>
      <c r="C131" s="25" t="s">
        <v>43</v>
      </c>
      <c r="D131" s="27" t="s">
        <v>195</v>
      </c>
      <c r="E131" s="27" t="s">
        <v>39</v>
      </c>
      <c r="F131" s="25" t="s">
        <v>44</v>
      </c>
      <c r="G131" s="28">
        <v>2</v>
      </c>
      <c r="H131" s="28">
        <v>2</v>
      </c>
      <c r="I131" s="29">
        <v>633</v>
      </c>
      <c r="J131" s="29">
        <v>540.70000000000005</v>
      </c>
      <c r="K131" s="29">
        <v>432.68</v>
      </c>
      <c r="L131" s="30">
        <v>28</v>
      </c>
      <c r="M131" s="31">
        <f t="shared" si="10"/>
        <v>190384.1</v>
      </c>
      <c r="N131" s="29">
        <v>0</v>
      </c>
      <c r="O131" s="29">
        <v>0</v>
      </c>
      <c r="P131" s="29">
        <v>0</v>
      </c>
      <c r="Q131" s="32">
        <f>'Таблица 3 '!C121</f>
        <v>190384.1</v>
      </c>
      <c r="R131" s="29">
        <f t="shared" si="11"/>
        <v>190384.1</v>
      </c>
      <c r="S131" s="29">
        <v>0</v>
      </c>
      <c r="T131" s="29">
        <f t="shared" si="8"/>
        <v>352.10671351951174</v>
      </c>
      <c r="U131" s="29">
        <f t="shared" si="9"/>
        <v>352.10671351951174</v>
      </c>
      <c r="V131" s="33" t="s">
        <v>45</v>
      </c>
    </row>
    <row r="132" spans="1:22" s="23" customFormat="1" ht="44.25" customHeight="1" x14ac:dyDescent="0.25">
      <c r="A132" s="25">
        <v>111</v>
      </c>
      <c r="B132" s="36" t="s">
        <v>196</v>
      </c>
      <c r="C132" s="25" t="s">
        <v>43</v>
      </c>
      <c r="D132" s="25">
        <v>1960</v>
      </c>
      <c r="E132" s="27" t="s">
        <v>39</v>
      </c>
      <c r="F132" s="25" t="s">
        <v>44</v>
      </c>
      <c r="G132" s="28">
        <v>2</v>
      </c>
      <c r="H132" s="28">
        <v>2</v>
      </c>
      <c r="I132" s="29">
        <v>647</v>
      </c>
      <c r="J132" s="29">
        <v>570.70000000000005</v>
      </c>
      <c r="K132" s="29">
        <v>572.30999999999995</v>
      </c>
      <c r="L132" s="30">
        <v>24</v>
      </c>
      <c r="M132" s="31">
        <f t="shared" si="10"/>
        <v>5555915.9100000001</v>
      </c>
      <c r="N132" s="29">
        <v>0</v>
      </c>
      <c r="O132" s="29">
        <v>0</v>
      </c>
      <c r="P132" s="29">
        <v>0</v>
      </c>
      <c r="Q132" s="32">
        <f>'Таблица 3 '!C122</f>
        <v>5555915.9100000001</v>
      </c>
      <c r="R132" s="29">
        <f t="shared" si="11"/>
        <v>5555915.9100000001</v>
      </c>
      <c r="S132" s="29">
        <v>0</v>
      </c>
      <c r="T132" s="29">
        <f t="shared" si="8"/>
        <v>9735.2653057648495</v>
      </c>
      <c r="U132" s="29">
        <f t="shared" si="9"/>
        <v>9735.2653057648495</v>
      </c>
      <c r="V132" s="33" t="s">
        <v>45</v>
      </c>
    </row>
    <row r="133" spans="1:22" s="23" customFormat="1" ht="44.25" customHeight="1" x14ac:dyDescent="0.25">
      <c r="A133" s="25">
        <v>112</v>
      </c>
      <c r="B133" s="36" t="s">
        <v>197</v>
      </c>
      <c r="C133" s="25" t="s">
        <v>43</v>
      </c>
      <c r="D133" s="27">
        <v>1984</v>
      </c>
      <c r="E133" s="27" t="s">
        <v>39</v>
      </c>
      <c r="F133" s="25" t="s">
        <v>48</v>
      </c>
      <c r="G133" s="28">
        <v>5</v>
      </c>
      <c r="H133" s="28">
        <v>6</v>
      </c>
      <c r="I133" s="29">
        <v>4230.8</v>
      </c>
      <c r="J133" s="29">
        <v>4685.3999999999996</v>
      </c>
      <c r="K133" s="29">
        <v>4223</v>
      </c>
      <c r="L133" s="30">
        <v>90</v>
      </c>
      <c r="M133" s="31">
        <f t="shared" si="10"/>
        <v>293968.81</v>
      </c>
      <c r="N133" s="29">
        <v>0</v>
      </c>
      <c r="O133" s="29">
        <v>0</v>
      </c>
      <c r="P133" s="29">
        <v>0</v>
      </c>
      <c r="Q133" s="32">
        <f>'Таблица 3 '!C123</f>
        <v>293968.81</v>
      </c>
      <c r="R133" s="29">
        <f t="shared" si="11"/>
        <v>293968.81</v>
      </c>
      <c r="S133" s="29">
        <v>0</v>
      </c>
      <c r="T133" s="29">
        <f t="shared" si="8"/>
        <v>62.741454304861918</v>
      </c>
      <c r="U133" s="29">
        <f t="shared" si="9"/>
        <v>62.741454304861918</v>
      </c>
      <c r="V133" s="33" t="s">
        <v>45</v>
      </c>
    </row>
    <row r="134" spans="1:22" s="23" customFormat="1" ht="44.25" customHeight="1" x14ac:dyDescent="0.25">
      <c r="A134" s="25">
        <v>113</v>
      </c>
      <c r="B134" s="36" t="s">
        <v>198</v>
      </c>
      <c r="C134" s="25" t="s">
        <v>43</v>
      </c>
      <c r="D134" s="27">
        <v>1984</v>
      </c>
      <c r="E134" s="27" t="s">
        <v>39</v>
      </c>
      <c r="F134" s="25" t="s">
        <v>48</v>
      </c>
      <c r="G134" s="28">
        <v>10</v>
      </c>
      <c r="H134" s="28">
        <v>2</v>
      </c>
      <c r="I134" s="29">
        <v>3764</v>
      </c>
      <c r="J134" s="29">
        <v>3764</v>
      </c>
      <c r="K134" s="29">
        <v>3620.1</v>
      </c>
      <c r="L134" s="30">
        <v>137</v>
      </c>
      <c r="M134" s="31">
        <f t="shared" si="10"/>
        <v>135276.94</v>
      </c>
      <c r="N134" s="29">
        <v>0</v>
      </c>
      <c r="O134" s="29">
        <v>0</v>
      </c>
      <c r="P134" s="29">
        <v>0</v>
      </c>
      <c r="Q134" s="32">
        <f>'Таблица 3 '!C124</f>
        <v>135276.94</v>
      </c>
      <c r="R134" s="29">
        <f t="shared" si="11"/>
        <v>135276.94</v>
      </c>
      <c r="S134" s="29">
        <v>0</v>
      </c>
      <c r="T134" s="29">
        <f>M134/J134</f>
        <v>35.939675876726888</v>
      </c>
      <c r="U134" s="29">
        <f>T134</f>
        <v>35.939675876726888</v>
      </c>
      <c r="V134" s="33" t="s">
        <v>45</v>
      </c>
    </row>
    <row r="135" spans="1:22" s="23" customFormat="1" ht="44.25" customHeight="1" x14ac:dyDescent="0.25">
      <c r="A135" s="25">
        <v>114</v>
      </c>
      <c r="B135" s="26" t="s">
        <v>199</v>
      </c>
      <c r="C135" s="25" t="s">
        <v>43</v>
      </c>
      <c r="D135" s="27" t="s">
        <v>200</v>
      </c>
      <c r="E135" s="27" t="s">
        <v>39</v>
      </c>
      <c r="F135" s="25" t="s">
        <v>44</v>
      </c>
      <c r="G135" s="28">
        <v>4</v>
      </c>
      <c r="H135" s="28">
        <v>3</v>
      </c>
      <c r="I135" s="29">
        <v>2189.8000000000002</v>
      </c>
      <c r="J135" s="29">
        <v>1996.8</v>
      </c>
      <c r="K135" s="29">
        <v>1968</v>
      </c>
      <c r="L135" s="30">
        <v>112</v>
      </c>
      <c r="M135" s="31">
        <f t="shared" si="10"/>
        <v>8412000.1400000006</v>
      </c>
      <c r="N135" s="29">
        <v>0</v>
      </c>
      <c r="O135" s="29">
        <v>0</v>
      </c>
      <c r="P135" s="29">
        <v>0</v>
      </c>
      <c r="Q135" s="32">
        <f>'Таблица 3 '!C125</f>
        <v>8412000.1400000006</v>
      </c>
      <c r="R135" s="29">
        <f t="shared" si="11"/>
        <v>8412000.1400000006</v>
      </c>
      <c r="S135" s="29">
        <v>0</v>
      </c>
      <c r="T135" s="29">
        <f t="shared" si="8"/>
        <v>4212.7404547275646</v>
      </c>
      <c r="U135" s="29">
        <f t="shared" si="9"/>
        <v>4212.7404547275646</v>
      </c>
      <c r="V135" s="33" t="s">
        <v>45</v>
      </c>
    </row>
    <row r="136" spans="1:22" s="23" customFormat="1" ht="44.25" customHeight="1" x14ac:dyDescent="0.25">
      <c r="A136" s="25">
        <v>115</v>
      </c>
      <c r="B136" s="26" t="s">
        <v>201</v>
      </c>
      <c r="C136" s="25" t="s">
        <v>43</v>
      </c>
      <c r="D136" s="27" t="s">
        <v>109</v>
      </c>
      <c r="E136" s="27" t="s">
        <v>47</v>
      </c>
      <c r="F136" s="25" t="s">
        <v>44</v>
      </c>
      <c r="G136" s="28">
        <v>5</v>
      </c>
      <c r="H136" s="28">
        <v>5</v>
      </c>
      <c r="I136" s="29">
        <v>4976.5</v>
      </c>
      <c r="J136" s="29">
        <v>3660.3</v>
      </c>
      <c r="K136" s="29">
        <v>3609.3</v>
      </c>
      <c r="L136" s="30">
        <v>147</v>
      </c>
      <c r="M136" s="31">
        <f t="shared" si="10"/>
        <v>9240034.6799999997</v>
      </c>
      <c r="N136" s="29">
        <v>0</v>
      </c>
      <c r="O136" s="29">
        <v>0</v>
      </c>
      <c r="P136" s="29">
        <v>0</v>
      </c>
      <c r="Q136" s="32">
        <f>'Таблица 3 '!C126</f>
        <v>9240034.6799999997</v>
      </c>
      <c r="R136" s="29">
        <f t="shared" si="11"/>
        <v>9240034.6799999997</v>
      </c>
      <c r="S136" s="29">
        <v>0</v>
      </c>
      <c r="T136" s="29">
        <f t="shared" si="8"/>
        <v>2524.3927219080401</v>
      </c>
      <c r="U136" s="29">
        <f t="shared" si="9"/>
        <v>2524.3927219080401</v>
      </c>
      <c r="V136" s="33" t="s">
        <v>45</v>
      </c>
    </row>
    <row r="137" spans="1:22" s="23" customFormat="1" ht="44.25" customHeight="1" x14ac:dyDescent="0.25">
      <c r="A137" s="25">
        <v>116</v>
      </c>
      <c r="B137" s="26" t="s">
        <v>202</v>
      </c>
      <c r="C137" s="25" t="s">
        <v>43</v>
      </c>
      <c r="D137" s="27" t="s">
        <v>203</v>
      </c>
      <c r="E137" s="27" t="s">
        <v>47</v>
      </c>
      <c r="F137" s="25" t="s">
        <v>48</v>
      </c>
      <c r="G137" s="28">
        <v>5</v>
      </c>
      <c r="H137" s="28">
        <v>2</v>
      </c>
      <c r="I137" s="29">
        <v>4337.7</v>
      </c>
      <c r="J137" s="29">
        <v>2933.3</v>
      </c>
      <c r="K137" s="29">
        <v>2721.9</v>
      </c>
      <c r="L137" s="30">
        <v>38</v>
      </c>
      <c r="M137" s="31">
        <f t="shared" si="10"/>
        <v>9536674.4700000007</v>
      </c>
      <c r="N137" s="29">
        <v>0</v>
      </c>
      <c r="O137" s="29">
        <v>0</v>
      </c>
      <c r="P137" s="29">
        <v>0</v>
      </c>
      <c r="Q137" s="32">
        <f>'Таблица 3 '!C127</f>
        <v>9536674.4700000007</v>
      </c>
      <c r="R137" s="29">
        <f t="shared" si="11"/>
        <v>9536674.4700000007</v>
      </c>
      <c r="S137" s="29">
        <v>0</v>
      </c>
      <c r="T137" s="29">
        <f t="shared" si="8"/>
        <v>3251.1759690451026</v>
      </c>
      <c r="U137" s="29">
        <f t="shared" si="9"/>
        <v>3251.1759690451026</v>
      </c>
      <c r="V137" s="33" t="s">
        <v>45</v>
      </c>
    </row>
    <row r="138" spans="1:22" s="23" customFormat="1" ht="44.25" customHeight="1" x14ac:dyDescent="0.25">
      <c r="A138" s="25">
        <v>117</v>
      </c>
      <c r="B138" s="26" t="s">
        <v>204</v>
      </c>
      <c r="C138" s="25" t="s">
        <v>90</v>
      </c>
      <c r="D138" s="27" t="s">
        <v>205</v>
      </c>
      <c r="E138" s="27" t="s">
        <v>39</v>
      </c>
      <c r="F138" s="25" t="s">
        <v>48</v>
      </c>
      <c r="G138" s="28">
        <v>5</v>
      </c>
      <c r="H138" s="28">
        <v>6</v>
      </c>
      <c r="I138" s="29">
        <v>5794.8</v>
      </c>
      <c r="J138" s="29">
        <v>4387.7</v>
      </c>
      <c r="K138" s="29">
        <v>4387.7</v>
      </c>
      <c r="L138" s="30">
        <v>156</v>
      </c>
      <c r="M138" s="31">
        <f t="shared" si="10"/>
        <v>1598815.32</v>
      </c>
      <c r="N138" s="29">
        <v>0</v>
      </c>
      <c r="O138" s="29">
        <v>0</v>
      </c>
      <c r="P138" s="29">
        <v>0</v>
      </c>
      <c r="Q138" s="32">
        <f>'Таблица 3 '!C128</f>
        <v>1598815.32</v>
      </c>
      <c r="R138" s="29">
        <f t="shared" si="11"/>
        <v>1598815.32</v>
      </c>
      <c r="S138" s="29">
        <v>0</v>
      </c>
      <c r="T138" s="29">
        <f t="shared" ref="T138:T140" si="16">M138/J138</f>
        <v>364.38574196048046</v>
      </c>
      <c r="U138" s="29">
        <f t="shared" ref="U138:U140" si="17">T138</f>
        <v>364.38574196048046</v>
      </c>
      <c r="V138" s="33" t="s">
        <v>45</v>
      </c>
    </row>
    <row r="139" spans="1:22" s="23" customFormat="1" ht="44.25" customHeight="1" x14ac:dyDescent="0.25">
      <c r="A139" s="25">
        <v>118</v>
      </c>
      <c r="B139" s="26" t="s">
        <v>206</v>
      </c>
      <c r="C139" s="25" t="s">
        <v>43</v>
      </c>
      <c r="D139" s="25">
        <v>1970</v>
      </c>
      <c r="E139" s="27" t="s">
        <v>57</v>
      </c>
      <c r="F139" s="25" t="s">
        <v>48</v>
      </c>
      <c r="G139" s="28">
        <v>5</v>
      </c>
      <c r="H139" s="28">
        <v>6</v>
      </c>
      <c r="I139" s="32">
        <v>4715.2</v>
      </c>
      <c r="J139" s="32">
        <v>4702.1000000000004</v>
      </c>
      <c r="K139" s="32">
        <v>4487.5</v>
      </c>
      <c r="L139" s="35">
        <v>230</v>
      </c>
      <c r="M139" s="31">
        <f t="shared" si="10"/>
        <v>3473605.5100000002</v>
      </c>
      <c r="N139" s="29">
        <v>0</v>
      </c>
      <c r="O139" s="29">
        <v>0</v>
      </c>
      <c r="P139" s="29">
        <v>0</v>
      </c>
      <c r="Q139" s="32">
        <f>'Таблица 3 '!C129</f>
        <v>3473605.5100000002</v>
      </c>
      <c r="R139" s="29">
        <f t="shared" si="11"/>
        <v>3473605.5100000002</v>
      </c>
      <c r="S139" s="32">
        <v>0</v>
      </c>
      <c r="T139" s="29">
        <f t="shared" si="16"/>
        <v>738.73492907424338</v>
      </c>
      <c r="U139" s="29">
        <f t="shared" si="17"/>
        <v>738.73492907424338</v>
      </c>
      <c r="V139" s="33" t="s">
        <v>45</v>
      </c>
    </row>
    <row r="140" spans="1:22" s="23" customFormat="1" ht="44.25" customHeight="1" x14ac:dyDescent="0.25">
      <c r="A140" s="25">
        <v>119</v>
      </c>
      <c r="B140" s="26" t="s">
        <v>207</v>
      </c>
      <c r="C140" s="25" t="s">
        <v>43</v>
      </c>
      <c r="D140" s="25">
        <v>1978</v>
      </c>
      <c r="E140" s="27">
        <v>2024</v>
      </c>
      <c r="F140" s="25" t="s">
        <v>77</v>
      </c>
      <c r="G140" s="28">
        <v>5</v>
      </c>
      <c r="H140" s="28">
        <v>6</v>
      </c>
      <c r="I140" s="32">
        <v>5770.5</v>
      </c>
      <c r="J140" s="32">
        <v>4274.7</v>
      </c>
      <c r="K140" s="32">
        <v>4229</v>
      </c>
      <c r="L140" s="35">
        <v>238</v>
      </c>
      <c r="M140" s="31">
        <f t="shared" si="10"/>
        <v>275400.2</v>
      </c>
      <c r="N140" s="29">
        <v>0</v>
      </c>
      <c r="O140" s="29">
        <v>0</v>
      </c>
      <c r="P140" s="29">
        <v>0</v>
      </c>
      <c r="Q140" s="32">
        <f>'Таблица 3 '!C130</f>
        <v>275400.2</v>
      </c>
      <c r="R140" s="29">
        <f t="shared" si="11"/>
        <v>275400.2</v>
      </c>
      <c r="S140" s="32">
        <v>0</v>
      </c>
      <c r="T140" s="29">
        <f t="shared" si="16"/>
        <v>64.425620511380927</v>
      </c>
      <c r="U140" s="29">
        <f t="shared" si="17"/>
        <v>64.425620511380927</v>
      </c>
      <c r="V140" s="33" t="s">
        <v>45</v>
      </c>
    </row>
    <row r="141" spans="1:22" s="23" customFormat="1" ht="44.25" customHeight="1" x14ac:dyDescent="0.25">
      <c r="A141" s="25">
        <v>120</v>
      </c>
      <c r="B141" s="26" t="s">
        <v>208</v>
      </c>
      <c r="C141" s="25" t="s">
        <v>43</v>
      </c>
      <c r="D141" s="27" t="s">
        <v>106</v>
      </c>
      <c r="E141" s="27" t="s">
        <v>39</v>
      </c>
      <c r="F141" s="25" t="s">
        <v>44</v>
      </c>
      <c r="G141" s="28">
        <v>5</v>
      </c>
      <c r="H141" s="28">
        <v>4</v>
      </c>
      <c r="I141" s="29">
        <v>3376.63</v>
      </c>
      <c r="J141" s="29">
        <v>3316.8</v>
      </c>
      <c r="K141" s="29">
        <v>3316.8</v>
      </c>
      <c r="L141" s="30">
        <v>71</v>
      </c>
      <c r="M141" s="31">
        <f t="shared" si="10"/>
        <v>15913259.58</v>
      </c>
      <c r="N141" s="29">
        <v>0</v>
      </c>
      <c r="O141" s="29">
        <v>0</v>
      </c>
      <c r="P141" s="29">
        <v>0</v>
      </c>
      <c r="Q141" s="32">
        <f>'Таблица 3 '!C131</f>
        <v>15913259.58</v>
      </c>
      <c r="R141" s="29">
        <f t="shared" si="11"/>
        <v>15913259.58</v>
      </c>
      <c r="S141" s="29">
        <v>0</v>
      </c>
      <c r="T141" s="29">
        <f t="shared" si="8"/>
        <v>4797.7748371924745</v>
      </c>
      <c r="U141" s="29">
        <f t="shared" si="9"/>
        <v>4797.7748371924745</v>
      </c>
      <c r="V141" s="33" t="s">
        <v>45</v>
      </c>
    </row>
    <row r="142" spans="1:22" s="23" customFormat="1" ht="44.25" customHeight="1" x14ac:dyDescent="0.25">
      <c r="A142" s="25">
        <v>121</v>
      </c>
      <c r="B142" s="26" t="s">
        <v>209</v>
      </c>
      <c r="C142" s="25" t="s">
        <v>43</v>
      </c>
      <c r="D142" s="25">
        <v>1983</v>
      </c>
      <c r="E142" s="27" t="s">
        <v>39</v>
      </c>
      <c r="F142" s="25" t="s">
        <v>48</v>
      </c>
      <c r="G142" s="28">
        <v>5</v>
      </c>
      <c r="H142" s="28">
        <v>5</v>
      </c>
      <c r="I142" s="29">
        <v>5025.3</v>
      </c>
      <c r="J142" s="29">
        <v>3690.4</v>
      </c>
      <c r="K142" s="29">
        <v>3690.4</v>
      </c>
      <c r="L142" s="30">
        <v>75</v>
      </c>
      <c r="M142" s="31">
        <f t="shared" si="10"/>
        <v>541588.65</v>
      </c>
      <c r="N142" s="29">
        <v>0</v>
      </c>
      <c r="O142" s="29">
        <v>0</v>
      </c>
      <c r="P142" s="29">
        <v>0</v>
      </c>
      <c r="Q142" s="32">
        <f>'Таблица 3 '!C132</f>
        <v>541588.65</v>
      </c>
      <c r="R142" s="29">
        <f t="shared" si="11"/>
        <v>541588.65</v>
      </c>
      <c r="S142" s="29">
        <v>0</v>
      </c>
      <c r="T142" s="29">
        <f t="shared" si="8"/>
        <v>146.75608335139822</v>
      </c>
      <c r="U142" s="29">
        <f t="shared" si="9"/>
        <v>146.75608335139822</v>
      </c>
      <c r="V142" s="33" t="s">
        <v>45</v>
      </c>
    </row>
    <row r="143" spans="1:22" s="23" customFormat="1" ht="44.25" customHeight="1" x14ac:dyDescent="0.25">
      <c r="A143" s="25">
        <v>122</v>
      </c>
      <c r="B143" s="26" t="s">
        <v>210</v>
      </c>
      <c r="C143" s="25" t="s">
        <v>43</v>
      </c>
      <c r="D143" s="25">
        <v>1961</v>
      </c>
      <c r="E143" s="27" t="s">
        <v>39</v>
      </c>
      <c r="F143" s="25" t="s">
        <v>44</v>
      </c>
      <c r="G143" s="28">
        <v>2</v>
      </c>
      <c r="H143" s="28">
        <v>1</v>
      </c>
      <c r="I143" s="29">
        <v>311.60000000000002</v>
      </c>
      <c r="J143" s="29">
        <v>286.3</v>
      </c>
      <c r="K143" s="29">
        <v>187.2</v>
      </c>
      <c r="L143" s="30">
        <v>11</v>
      </c>
      <c r="M143" s="31">
        <f t="shared" si="10"/>
        <v>117955.6</v>
      </c>
      <c r="N143" s="29">
        <v>0</v>
      </c>
      <c r="O143" s="29">
        <v>0</v>
      </c>
      <c r="P143" s="29">
        <v>0</v>
      </c>
      <c r="Q143" s="32">
        <f>'Таблица 3 '!C133</f>
        <v>117955.6</v>
      </c>
      <c r="R143" s="29">
        <f t="shared" si="11"/>
        <v>117955.6</v>
      </c>
      <c r="S143" s="29">
        <v>0</v>
      </c>
      <c r="T143" s="29">
        <f t="shared" si="8"/>
        <v>412</v>
      </c>
      <c r="U143" s="29">
        <f t="shared" si="9"/>
        <v>412</v>
      </c>
      <c r="V143" s="33" t="s">
        <v>45</v>
      </c>
    </row>
    <row r="144" spans="1:22" s="23" customFormat="1" ht="44.25" customHeight="1" x14ac:dyDescent="0.25">
      <c r="A144" s="25">
        <v>123</v>
      </c>
      <c r="B144" s="26" t="s">
        <v>211</v>
      </c>
      <c r="C144" s="25" t="s">
        <v>43</v>
      </c>
      <c r="D144" s="27" t="s">
        <v>173</v>
      </c>
      <c r="E144" s="27" t="s">
        <v>130</v>
      </c>
      <c r="F144" s="25" t="s">
        <v>44</v>
      </c>
      <c r="G144" s="28">
        <v>5</v>
      </c>
      <c r="H144" s="28">
        <v>4</v>
      </c>
      <c r="I144" s="29">
        <v>4574.1000000000004</v>
      </c>
      <c r="J144" s="29">
        <v>3350.3</v>
      </c>
      <c r="K144" s="29">
        <v>3349.4</v>
      </c>
      <c r="L144" s="30">
        <v>131</v>
      </c>
      <c r="M144" s="31">
        <f t="shared" si="10"/>
        <v>9352855.7899999991</v>
      </c>
      <c r="N144" s="29">
        <v>0</v>
      </c>
      <c r="O144" s="29">
        <v>0</v>
      </c>
      <c r="P144" s="29">
        <v>0</v>
      </c>
      <c r="Q144" s="32">
        <f>'Таблица 3 '!C134</f>
        <v>9352855.7899999991</v>
      </c>
      <c r="R144" s="29">
        <f t="shared" si="11"/>
        <v>9352855.7899999991</v>
      </c>
      <c r="S144" s="29">
        <v>0</v>
      </c>
      <c r="T144" s="29">
        <f t="shared" si="8"/>
        <v>2791.6472524848518</v>
      </c>
      <c r="U144" s="29">
        <f t="shared" si="9"/>
        <v>2791.6472524848518</v>
      </c>
      <c r="V144" s="33" t="s">
        <v>45</v>
      </c>
    </row>
    <row r="145" spans="1:22" s="23" customFormat="1" ht="44.25" customHeight="1" x14ac:dyDescent="0.25">
      <c r="A145" s="25">
        <v>124</v>
      </c>
      <c r="B145" s="26" t="s">
        <v>212</v>
      </c>
      <c r="C145" s="25" t="s">
        <v>43</v>
      </c>
      <c r="D145" s="27" t="s">
        <v>213</v>
      </c>
      <c r="E145" s="27" t="s">
        <v>39</v>
      </c>
      <c r="F145" s="25" t="s">
        <v>44</v>
      </c>
      <c r="G145" s="28">
        <v>5</v>
      </c>
      <c r="H145" s="28">
        <v>6</v>
      </c>
      <c r="I145" s="29">
        <v>5252</v>
      </c>
      <c r="J145" s="29">
        <v>4468.5</v>
      </c>
      <c r="K145" s="29">
        <v>3749</v>
      </c>
      <c r="L145" s="30">
        <v>180</v>
      </c>
      <c r="M145" s="31">
        <f t="shared" si="10"/>
        <v>11312793.350000001</v>
      </c>
      <c r="N145" s="29">
        <v>0</v>
      </c>
      <c r="O145" s="29">
        <v>0</v>
      </c>
      <c r="P145" s="29">
        <v>0</v>
      </c>
      <c r="Q145" s="32">
        <f>'Таблица 3 '!C135</f>
        <v>11312793.350000001</v>
      </c>
      <c r="R145" s="29">
        <f t="shared" si="11"/>
        <v>11312793.350000001</v>
      </c>
      <c r="S145" s="29">
        <v>0</v>
      </c>
      <c r="T145" s="29">
        <f t="shared" si="8"/>
        <v>2531.6758084368362</v>
      </c>
      <c r="U145" s="29">
        <f t="shared" si="9"/>
        <v>2531.6758084368362</v>
      </c>
      <c r="V145" s="33" t="s">
        <v>45</v>
      </c>
    </row>
    <row r="146" spans="1:22" s="23" customFormat="1" ht="44.25" customHeight="1" x14ac:dyDescent="0.25">
      <c r="A146" s="25">
        <v>125</v>
      </c>
      <c r="B146" s="26" t="s">
        <v>214</v>
      </c>
      <c r="C146" s="25" t="s">
        <v>43</v>
      </c>
      <c r="D146" s="27" t="s">
        <v>215</v>
      </c>
      <c r="E146" s="27" t="s">
        <v>50</v>
      </c>
      <c r="F146" s="25" t="s">
        <v>44</v>
      </c>
      <c r="G146" s="28">
        <v>4</v>
      </c>
      <c r="H146" s="28">
        <v>9</v>
      </c>
      <c r="I146" s="29">
        <v>7379.8</v>
      </c>
      <c r="J146" s="29">
        <v>7379.3</v>
      </c>
      <c r="K146" s="29">
        <v>4342.3999999999996</v>
      </c>
      <c r="L146" s="30">
        <v>124</v>
      </c>
      <c r="M146" s="31">
        <f t="shared" si="10"/>
        <v>514458</v>
      </c>
      <c r="N146" s="29">
        <v>0</v>
      </c>
      <c r="O146" s="29">
        <v>0</v>
      </c>
      <c r="P146" s="29">
        <v>0</v>
      </c>
      <c r="Q146" s="32">
        <f>'Таблица 3 '!C136</f>
        <v>514458</v>
      </c>
      <c r="R146" s="29">
        <f t="shared" si="11"/>
        <v>514458</v>
      </c>
      <c r="S146" s="29">
        <v>0</v>
      </c>
      <c r="T146" s="29">
        <f t="shared" ref="T146:T147" si="18">M146/J146</f>
        <v>69.716368761264619</v>
      </c>
      <c r="U146" s="29">
        <f t="shared" ref="U146:U147" si="19">T146</f>
        <v>69.716368761264619</v>
      </c>
      <c r="V146" s="33" t="s">
        <v>45</v>
      </c>
    </row>
    <row r="147" spans="1:22" s="23" customFormat="1" ht="44.25" customHeight="1" x14ac:dyDescent="0.25">
      <c r="A147" s="25">
        <v>126</v>
      </c>
      <c r="B147" s="26" t="s">
        <v>216</v>
      </c>
      <c r="C147" s="25" t="s">
        <v>43</v>
      </c>
      <c r="D147" s="27" t="s">
        <v>217</v>
      </c>
      <c r="E147" s="27" t="s">
        <v>39</v>
      </c>
      <c r="F147" s="25" t="s">
        <v>44</v>
      </c>
      <c r="G147" s="28">
        <v>4</v>
      </c>
      <c r="H147" s="28">
        <v>6</v>
      </c>
      <c r="I147" s="29">
        <v>5498.8</v>
      </c>
      <c r="J147" s="29">
        <v>5350.5</v>
      </c>
      <c r="K147" s="29">
        <v>3369.8</v>
      </c>
      <c r="L147" s="30">
        <v>79</v>
      </c>
      <c r="M147" s="31">
        <f t="shared" si="10"/>
        <v>1028916</v>
      </c>
      <c r="N147" s="29">
        <v>0</v>
      </c>
      <c r="O147" s="29">
        <v>0</v>
      </c>
      <c r="P147" s="29">
        <v>0</v>
      </c>
      <c r="Q147" s="32">
        <f>'Таблица 3 '!C137</f>
        <v>1028916</v>
      </c>
      <c r="R147" s="29">
        <f t="shared" si="11"/>
        <v>1028916</v>
      </c>
      <c r="S147" s="29">
        <v>0</v>
      </c>
      <c r="T147" s="29">
        <f t="shared" si="18"/>
        <v>192.30277544154751</v>
      </c>
      <c r="U147" s="29">
        <f t="shared" si="19"/>
        <v>192.30277544154751</v>
      </c>
      <c r="V147" s="33" t="s">
        <v>45</v>
      </c>
    </row>
    <row r="148" spans="1:22" s="23" customFormat="1" ht="44.25" customHeight="1" x14ac:dyDescent="0.25">
      <c r="A148" s="25">
        <v>127</v>
      </c>
      <c r="B148" s="26" t="s">
        <v>218</v>
      </c>
      <c r="C148" s="25" t="s">
        <v>43</v>
      </c>
      <c r="D148" s="27" t="s">
        <v>219</v>
      </c>
      <c r="E148" s="27" t="s">
        <v>39</v>
      </c>
      <c r="F148" s="25" t="s">
        <v>44</v>
      </c>
      <c r="G148" s="28">
        <v>4</v>
      </c>
      <c r="H148" s="28">
        <v>5</v>
      </c>
      <c r="I148" s="29">
        <v>5160.3</v>
      </c>
      <c r="J148" s="29">
        <v>4617</v>
      </c>
      <c r="K148" s="29">
        <v>3542.6</v>
      </c>
      <c r="L148" s="30">
        <v>98</v>
      </c>
      <c r="M148" s="31">
        <f t="shared" si="10"/>
        <v>1008050.04</v>
      </c>
      <c r="N148" s="29">
        <v>0</v>
      </c>
      <c r="O148" s="29">
        <v>0</v>
      </c>
      <c r="P148" s="29">
        <v>0</v>
      </c>
      <c r="Q148" s="32">
        <f>'Таблица 3 '!C138</f>
        <v>1008050.04</v>
      </c>
      <c r="R148" s="29">
        <f t="shared" si="11"/>
        <v>1008050.04</v>
      </c>
      <c r="S148" s="29">
        <v>0</v>
      </c>
      <c r="T148" s="29">
        <f t="shared" si="8"/>
        <v>218.33442495126707</v>
      </c>
      <c r="U148" s="29">
        <f t="shared" si="9"/>
        <v>218.33442495126707</v>
      </c>
      <c r="V148" s="33" t="s">
        <v>45</v>
      </c>
    </row>
    <row r="149" spans="1:22" s="23" customFormat="1" ht="44.25" customHeight="1" x14ac:dyDescent="0.25">
      <c r="A149" s="25">
        <v>128</v>
      </c>
      <c r="B149" s="26" t="s">
        <v>220</v>
      </c>
      <c r="C149" s="25" t="s">
        <v>43</v>
      </c>
      <c r="D149" s="27" t="s">
        <v>221</v>
      </c>
      <c r="E149" s="27" t="s">
        <v>39</v>
      </c>
      <c r="F149" s="25" t="s">
        <v>44</v>
      </c>
      <c r="G149" s="28">
        <v>4</v>
      </c>
      <c r="H149" s="28">
        <v>5</v>
      </c>
      <c r="I149" s="29">
        <v>5039.1000000000004</v>
      </c>
      <c r="J149" s="29">
        <v>3603.4</v>
      </c>
      <c r="K149" s="29">
        <v>2886.4</v>
      </c>
      <c r="L149" s="30">
        <v>47</v>
      </c>
      <c r="M149" s="31">
        <f t="shared" si="10"/>
        <v>1018685.69</v>
      </c>
      <c r="N149" s="29">
        <v>0</v>
      </c>
      <c r="O149" s="29">
        <v>0</v>
      </c>
      <c r="P149" s="29">
        <v>0</v>
      </c>
      <c r="Q149" s="32">
        <f>'Таблица 3 '!C139</f>
        <v>1018685.69</v>
      </c>
      <c r="R149" s="29">
        <f t="shared" si="11"/>
        <v>1018685.69</v>
      </c>
      <c r="S149" s="29">
        <v>0</v>
      </c>
      <c r="T149" s="29">
        <f t="shared" ref="T149:T212" si="20">M149/J149</f>
        <v>282.70125159571512</v>
      </c>
      <c r="U149" s="29">
        <f t="shared" ref="U149:U212" si="21">T149</f>
        <v>282.70125159571512</v>
      </c>
      <c r="V149" s="33" t="s">
        <v>45</v>
      </c>
    </row>
    <row r="150" spans="1:22" s="23" customFormat="1" ht="44.25" customHeight="1" x14ac:dyDescent="0.25">
      <c r="A150" s="25">
        <v>129</v>
      </c>
      <c r="B150" s="26" t="s">
        <v>222</v>
      </c>
      <c r="C150" s="25" t="s">
        <v>43</v>
      </c>
      <c r="D150" s="25">
        <v>1968</v>
      </c>
      <c r="E150" s="27" t="s">
        <v>50</v>
      </c>
      <c r="F150" s="25" t="s">
        <v>77</v>
      </c>
      <c r="G150" s="28">
        <v>5</v>
      </c>
      <c r="H150" s="28">
        <v>2</v>
      </c>
      <c r="I150" s="32">
        <v>2370.8000000000002</v>
      </c>
      <c r="J150" s="32">
        <v>1959.7</v>
      </c>
      <c r="K150" s="32">
        <v>1482.3</v>
      </c>
      <c r="L150" s="35">
        <v>67</v>
      </c>
      <c r="M150" s="31">
        <f t="shared" si="10"/>
        <v>1310089.47</v>
      </c>
      <c r="N150" s="29">
        <v>0</v>
      </c>
      <c r="O150" s="29">
        <v>0</v>
      </c>
      <c r="P150" s="29">
        <v>0</v>
      </c>
      <c r="Q150" s="32">
        <f>'Таблица 3 '!C140</f>
        <v>1310089.47</v>
      </c>
      <c r="R150" s="29">
        <f t="shared" si="11"/>
        <v>1310089.47</v>
      </c>
      <c r="S150" s="32">
        <v>0</v>
      </c>
      <c r="T150" s="29">
        <f t="shared" si="20"/>
        <v>668.51531867122515</v>
      </c>
      <c r="U150" s="29">
        <f t="shared" si="21"/>
        <v>668.51531867122515</v>
      </c>
      <c r="V150" s="33" t="s">
        <v>45</v>
      </c>
    </row>
    <row r="151" spans="1:22" s="23" customFormat="1" ht="44.25" customHeight="1" x14ac:dyDescent="0.25">
      <c r="A151" s="25">
        <v>130</v>
      </c>
      <c r="B151" s="26" t="s">
        <v>223</v>
      </c>
      <c r="C151" s="25" t="s">
        <v>43</v>
      </c>
      <c r="D151" s="27" t="s">
        <v>126</v>
      </c>
      <c r="E151" s="27" t="s">
        <v>130</v>
      </c>
      <c r="F151" s="25" t="s">
        <v>44</v>
      </c>
      <c r="G151" s="28">
        <v>4</v>
      </c>
      <c r="H151" s="28">
        <v>3</v>
      </c>
      <c r="I151" s="29">
        <v>2912.94</v>
      </c>
      <c r="J151" s="29">
        <v>2239.1</v>
      </c>
      <c r="K151" s="29">
        <v>1546.9</v>
      </c>
      <c r="L151" s="30">
        <v>73</v>
      </c>
      <c r="M151" s="31">
        <f t="shared" si="10"/>
        <v>15549197.84</v>
      </c>
      <c r="N151" s="29">
        <v>0</v>
      </c>
      <c r="O151" s="29">
        <v>0</v>
      </c>
      <c r="P151" s="29">
        <v>0</v>
      </c>
      <c r="Q151" s="32">
        <f>'Таблица 3 '!C141</f>
        <v>15549197.84</v>
      </c>
      <c r="R151" s="29">
        <f t="shared" si="11"/>
        <v>15549197.84</v>
      </c>
      <c r="S151" s="29">
        <v>0</v>
      </c>
      <c r="T151" s="29">
        <f t="shared" si="20"/>
        <v>6944.3963378143008</v>
      </c>
      <c r="U151" s="29">
        <f t="shared" si="21"/>
        <v>6944.3963378143008</v>
      </c>
      <c r="V151" s="33" t="s">
        <v>45</v>
      </c>
    </row>
    <row r="152" spans="1:22" s="23" customFormat="1" ht="44.25" customHeight="1" x14ac:dyDescent="0.25">
      <c r="A152" s="25">
        <v>131</v>
      </c>
      <c r="B152" s="26" t="s">
        <v>224</v>
      </c>
      <c r="C152" s="25" t="s">
        <v>43</v>
      </c>
      <c r="D152" s="27" t="s">
        <v>225</v>
      </c>
      <c r="E152" s="27" t="s">
        <v>39</v>
      </c>
      <c r="F152" s="25" t="s">
        <v>44</v>
      </c>
      <c r="G152" s="28">
        <v>2</v>
      </c>
      <c r="H152" s="28">
        <v>1</v>
      </c>
      <c r="I152" s="29">
        <v>486.74</v>
      </c>
      <c r="J152" s="29">
        <v>267</v>
      </c>
      <c r="K152" s="29">
        <v>264.8</v>
      </c>
      <c r="L152" s="30">
        <v>10</v>
      </c>
      <c r="M152" s="31">
        <f t="shared" si="10"/>
        <v>140930.76999999999</v>
      </c>
      <c r="N152" s="29">
        <v>0</v>
      </c>
      <c r="O152" s="29">
        <v>0</v>
      </c>
      <c r="P152" s="29">
        <v>0</v>
      </c>
      <c r="Q152" s="32">
        <f>'Таблица 3 '!C142</f>
        <v>140930.76999999999</v>
      </c>
      <c r="R152" s="29">
        <f t="shared" si="11"/>
        <v>140930.76999999999</v>
      </c>
      <c r="S152" s="29">
        <v>0</v>
      </c>
      <c r="T152" s="29">
        <f t="shared" si="20"/>
        <v>527.8305992509363</v>
      </c>
      <c r="U152" s="29">
        <f t="shared" si="21"/>
        <v>527.8305992509363</v>
      </c>
      <c r="V152" s="33" t="s">
        <v>45</v>
      </c>
    </row>
    <row r="153" spans="1:22" s="23" customFormat="1" ht="44.25" customHeight="1" x14ac:dyDescent="0.25">
      <c r="A153" s="25">
        <v>132</v>
      </c>
      <c r="B153" s="26" t="s">
        <v>226</v>
      </c>
      <c r="C153" s="25" t="s">
        <v>43</v>
      </c>
      <c r="D153" s="27" t="s">
        <v>227</v>
      </c>
      <c r="E153" s="27" t="s">
        <v>228</v>
      </c>
      <c r="F153" s="25" t="s">
        <v>44</v>
      </c>
      <c r="G153" s="28">
        <v>4</v>
      </c>
      <c r="H153" s="28">
        <v>3</v>
      </c>
      <c r="I153" s="29">
        <v>2525.6</v>
      </c>
      <c r="J153" s="29">
        <v>2375.1</v>
      </c>
      <c r="K153" s="29">
        <v>1863.1</v>
      </c>
      <c r="L153" s="30">
        <v>66</v>
      </c>
      <c r="M153" s="31">
        <f t="shared" si="10"/>
        <v>8178061.9699999997</v>
      </c>
      <c r="N153" s="29">
        <v>0</v>
      </c>
      <c r="O153" s="29">
        <v>0</v>
      </c>
      <c r="P153" s="29">
        <v>0</v>
      </c>
      <c r="Q153" s="32">
        <f>'Таблица 3 '!C143</f>
        <v>8178061.9699999997</v>
      </c>
      <c r="R153" s="29">
        <f t="shared" si="11"/>
        <v>8178061.9699999997</v>
      </c>
      <c r="S153" s="29">
        <v>0</v>
      </c>
      <c r="T153" s="29">
        <f t="shared" si="20"/>
        <v>3443.2495347564313</v>
      </c>
      <c r="U153" s="29">
        <f t="shared" si="21"/>
        <v>3443.2495347564313</v>
      </c>
      <c r="V153" s="33" t="s">
        <v>45</v>
      </c>
    </row>
    <row r="154" spans="1:22" s="23" customFormat="1" ht="44.25" customHeight="1" x14ac:dyDescent="0.25">
      <c r="A154" s="25">
        <v>133</v>
      </c>
      <c r="B154" s="26" t="s">
        <v>229</v>
      </c>
      <c r="C154" s="25" t="s">
        <v>43</v>
      </c>
      <c r="D154" s="27" t="s">
        <v>230</v>
      </c>
      <c r="E154" s="27" t="s">
        <v>39</v>
      </c>
      <c r="F154" s="25" t="s">
        <v>44</v>
      </c>
      <c r="G154" s="28">
        <v>3</v>
      </c>
      <c r="H154" s="28">
        <v>2</v>
      </c>
      <c r="I154" s="29">
        <v>2481.84</v>
      </c>
      <c r="J154" s="29">
        <v>1356.4</v>
      </c>
      <c r="K154" s="29">
        <v>1737.72</v>
      </c>
      <c r="L154" s="30">
        <v>37</v>
      </c>
      <c r="M154" s="31">
        <f t="shared" si="10"/>
        <v>5887256.4100000001</v>
      </c>
      <c r="N154" s="29">
        <v>0</v>
      </c>
      <c r="O154" s="29">
        <v>0</v>
      </c>
      <c r="P154" s="29">
        <v>0</v>
      </c>
      <c r="Q154" s="32">
        <f>'Таблица 3 '!C144</f>
        <v>5887256.4100000001</v>
      </c>
      <c r="R154" s="29">
        <f t="shared" si="11"/>
        <v>5887256.4100000001</v>
      </c>
      <c r="S154" s="29">
        <v>0</v>
      </c>
      <c r="T154" s="29">
        <f t="shared" si="20"/>
        <v>4340.3541801828369</v>
      </c>
      <c r="U154" s="29">
        <f t="shared" si="21"/>
        <v>4340.3541801828369</v>
      </c>
      <c r="V154" s="33" t="s">
        <v>45</v>
      </c>
    </row>
    <row r="155" spans="1:22" s="23" customFormat="1" ht="44.25" customHeight="1" x14ac:dyDescent="0.25">
      <c r="A155" s="25">
        <v>134</v>
      </c>
      <c r="B155" s="41" t="s">
        <v>231</v>
      </c>
      <c r="C155" s="25" t="s">
        <v>43</v>
      </c>
      <c r="D155" s="25">
        <v>1958</v>
      </c>
      <c r="E155" s="27">
        <v>2021</v>
      </c>
      <c r="F155" s="25" t="s">
        <v>44</v>
      </c>
      <c r="G155" s="28">
        <v>4</v>
      </c>
      <c r="H155" s="28">
        <v>1</v>
      </c>
      <c r="I155" s="42">
        <v>2195.9</v>
      </c>
      <c r="J155" s="42">
        <v>1555.5</v>
      </c>
      <c r="K155" s="42">
        <v>652.6</v>
      </c>
      <c r="L155" s="43">
        <v>24</v>
      </c>
      <c r="M155" s="31">
        <f t="shared" si="10"/>
        <v>969284.57000000007</v>
      </c>
      <c r="N155" s="29">
        <v>0</v>
      </c>
      <c r="O155" s="29">
        <v>0</v>
      </c>
      <c r="P155" s="29">
        <v>0</v>
      </c>
      <c r="Q155" s="32">
        <f>'Таблица 3 '!C145</f>
        <v>969284.57000000007</v>
      </c>
      <c r="R155" s="29">
        <f t="shared" si="11"/>
        <v>969284.57000000007</v>
      </c>
      <c r="S155" s="29">
        <v>0</v>
      </c>
      <c r="T155" s="29">
        <f t="shared" si="20"/>
        <v>623.13376406300233</v>
      </c>
      <c r="U155" s="29">
        <f t="shared" si="21"/>
        <v>623.13376406300233</v>
      </c>
      <c r="V155" s="33" t="s">
        <v>45</v>
      </c>
    </row>
    <row r="156" spans="1:22" s="23" customFormat="1" ht="44.25" customHeight="1" x14ac:dyDescent="0.25">
      <c r="A156" s="25">
        <v>135</v>
      </c>
      <c r="B156" s="41" t="s">
        <v>232</v>
      </c>
      <c r="C156" s="25" t="s">
        <v>90</v>
      </c>
      <c r="D156" s="25">
        <v>2001</v>
      </c>
      <c r="E156" s="27" t="s">
        <v>39</v>
      </c>
      <c r="F156" s="25" t="s">
        <v>44</v>
      </c>
      <c r="G156" s="28">
        <v>10</v>
      </c>
      <c r="H156" s="28">
        <v>1</v>
      </c>
      <c r="I156" s="42">
        <v>6234.1</v>
      </c>
      <c r="J156" s="42">
        <v>5047</v>
      </c>
      <c r="K156" s="42">
        <v>5047</v>
      </c>
      <c r="L156" s="43">
        <v>157</v>
      </c>
      <c r="M156" s="31">
        <f t="shared" si="10"/>
        <v>3325198.65</v>
      </c>
      <c r="N156" s="29">
        <v>0</v>
      </c>
      <c r="O156" s="29">
        <v>0</v>
      </c>
      <c r="P156" s="29">
        <v>0</v>
      </c>
      <c r="Q156" s="32">
        <f>'Таблица 3 '!C146</f>
        <v>3325198.65</v>
      </c>
      <c r="R156" s="29">
        <f t="shared" si="11"/>
        <v>3325198.65</v>
      </c>
      <c r="S156" s="29">
        <v>0</v>
      </c>
      <c r="T156" s="29">
        <f t="shared" si="20"/>
        <v>658.84657222112139</v>
      </c>
      <c r="U156" s="29">
        <f t="shared" si="21"/>
        <v>658.84657222112139</v>
      </c>
      <c r="V156" s="33" t="s">
        <v>45</v>
      </c>
    </row>
    <row r="157" spans="1:22" s="23" customFormat="1" ht="44.25" customHeight="1" x14ac:dyDescent="0.25">
      <c r="A157" s="25">
        <v>136</v>
      </c>
      <c r="B157" s="26" t="s">
        <v>233</v>
      </c>
      <c r="C157" s="25" t="s">
        <v>43</v>
      </c>
      <c r="D157" s="25">
        <v>1954</v>
      </c>
      <c r="E157" s="27" t="s">
        <v>39</v>
      </c>
      <c r="F157" s="25" t="s">
        <v>44</v>
      </c>
      <c r="G157" s="28">
        <v>4</v>
      </c>
      <c r="H157" s="28">
        <v>5</v>
      </c>
      <c r="I157" s="42">
        <v>5190.7</v>
      </c>
      <c r="J157" s="42">
        <v>4164.3999999999996</v>
      </c>
      <c r="K157" s="42">
        <v>3706.4</v>
      </c>
      <c r="L157" s="43">
        <v>93</v>
      </c>
      <c r="M157" s="31">
        <f t="shared" si="10"/>
        <v>261674.3</v>
      </c>
      <c r="N157" s="29">
        <v>0</v>
      </c>
      <c r="O157" s="29">
        <v>0</v>
      </c>
      <c r="P157" s="29">
        <v>0</v>
      </c>
      <c r="Q157" s="32">
        <f>'Таблица 3 '!C147</f>
        <v>261674.3</v>
      </c>
      <c r="R157" s="29">
        <f t="shared" si="11"/>
        <v>261674.3</v>
      </c>
      <c r="S157" s="29">
        <v>0</v>
      </c>
      <c r="T157" s="29">
        <f t="shared" si="20"/>
        <v>62.836014792046875</v>
      </c>
      <c r="U157" s="29">
        <f t="shared" si="21"/>
        <v>62.836014792046875</v>
      </c>
      <c r="V157" s="33" t="s">
        <v>45</v>
      </c>
    </row>
    <row r="158" spans="1:22" s="23" customFormat="1" ht="44.25" customHeight="1" x14ac:dyDescent="0.25">
      <c r="A158" s="25">
        <v>137</v>
      </c>
      <c r="B158" s="26" t="s">
        <v>234</v>
      </c>
      <c r="C158" s="25" t="s">
        <v>43</v>
      </c>
      <c r="D158" s="27" t="s">
        <v>109</v>
      </c>
      <c r="E158" s="27" t="s">
        <v>39</v>
      </c>
      <c r="F158" s="25" t="s">
        <v>48</v>
      </c>
      <c r="G158" s="28">
        <v>5</v>
      </c>
      <c r="H158" s="28">
        <v>14</v>
      </c>
      <c r="I158" s="29">
        <v>11214.8</v>
      </c>
      <c r="J158" s="29">
        <v>10007.200000000001</v>
      </c>
      <c r="K158" s="29">
        <v>9359</v>
      </c>
      <c r="L158" s="30">
        <v>410</v>
      </c>
      <c r="M158" s="31">
        <f t="shared" si="10"/>
        <v>30017079.82</v>
      </c>
      <c r="N158" s="29">
        <v>0</v>
      </c>
      <c r="O158" s="29">
        <v>0</v>
      </c>
      <c r="P158" s="29">
        <v>0</v>
      </c>
      <c r="Q158" s="32">
        <f>'Таблица 3 '!C148</f>
        <v>30017079.82</v>
      </c>
      <c r="R158" s="29">
        <f t="shared" si="11"/>
        <v>30017079.82</v>
      </c>
      <c r="S158" s="29">
        <v>0</v>
      </c>
      <c r="T158" s="29">
        <f t="shared" si="20"/>
        <v>2999.5483072188022</v>
      </c>
      <c r="U158" s="29">
        <f t="shared" si="21"/>
        <v>2999.5483072188022</v>
      </c>
      <c r="V158" s="33" t="s">
        <v>45</v>
      </c>
    </row>
    <row r="159" spans="1:22" s="23" customFormat="1" ht="44.25" customHeight="1" x14ac:dyDescent="0.25">
      <c r="A159" s="25">
        <v>138</v>
      </c>
      <c r="B159" s="26" t="s">
        <v>235</v>
      </c>
      <c r="C159" s="25" t="s">
        <v>43</v>
      </c>
      <c r="D159" s="27" t="s">
        <v>145</v>
      </c>
      <c r="E159" s="27" t="s">
        <v>39</v>
      </c>
      <c r="F159" s="25" t="s">
        <v>44</v>
      </c>
      <c r="G159" s="28">
        <v>5</v>
      </c>
      <c r="H159" s="28">
        <v>8</v>
      </c>
      <c r="I159" s="29">
        <v>9456.4</v>
      </c>
      <c r="J159" s="29">
        <v>5716.3</v>
      </c>
      <c r="K159" s="29">
        <v>5239.5</v>
      </c>
      <c r="L159" s="30">
        <v>167</v>
      </c>
      <c r="M159" s="31">
        <f t="shared" si="10"/>
        <v>350610.92</v>
      </c>
      <c r="N159" s="29">
        <v>0</v>
      </c>
      <c r="O159" s="29">
        <v>0</v>
      </c>
      <c r="P159" s="29">
        <v>0</v>
      </c>
      <c r="Q159" s="32">
        <f>'Таблица 3 '!C149</f>
        <v>350610.92</v>
      </c>
      <c r="R159" s="29">
        <f t="shared" si="11"/>
        <v>350610.92</v>
      </c>
      <c r="S159" s="29">
        <v>0</v>
      </c>
      <c r="T159" s="29">
        <f t="shared" si="20"/>
        <v>61.335290310165661</v>
      </c>
      <c r="U159" s="29">
        <f t="shared" si="21"/>
        <v>61.335290310165661</v>
      </c>
      <c r="V159" s="33" t="s">
        <v>45</v>
      </c>
    </row>
    <row r="160" spans="1:22" s="23" customFormat="1" ht="44.25" customHeight="1" x14ac:dyDescent="0.25">
      <c r="A160" s="25">
        <v>139</v>
      </c>
      <c r="B160" s="26" t="s">
        <v>236</v>
      </c>
      <c r="C160" s="25" t="s">
        <v>43</v>
      </c>
      <c r="D160" s="25">
        <v>1959</v>
      </c>
      <c r="E160" s="27" t="s">
        <v>39</v>
      </c>
      <c r="F160" s="25" t="s">
        <v>44</v>
      </c>
      <c r="G160" s="28">
        <v>2</v>
      </c>
      <c r="H160" s="28">
        <v>2</v>
      </c>
      <c r="I160" s="29">
        <v>428.5</v>
      </c>
      <c r="J160" s="29">
        <v>386.1</v>
      </c>
      <c r="K160" s="29">
        <v>318.7</v>
      </c>
      <c r="L160" s="30">
        <v>23</v>
      </c>
      <c r="M160" s="31">
        <f t="shared" si="10"/>
        <v>421821.95999999996</v>
      </c>
      <c r="N160" s="29">
        <v>0</v>
      </c>
      <c r="O160" s="29">
        <v>0</v>
      </c>
      <c r="P160" s="29">
        <v>0</v>
      </c>
      <c r="Q160" s="32">
        <f>'Таблица 3 '!C150</f>
        <v>421821.95999999996</v>
      </c>
      <c r="R160" s="29">
        <f t="shared" si="11"/>
        <v>421821.95999999996</v>
      </c>
      <c r="S160" s="29">
        <v>0</v>
      </c>
      <c r="T160" s="29">
        <f t="shared" si="20"/>
        <v>1092.5199689199687</v>
      </c>
      <c r="U160" s="29">
        <f t="shared" si="21"/>
        <v>1092.5199689199687</v>
      </c>
      <c r="V160" s="33" t="s">
        <v>45</v>
      </c>
    </row>
    <row r="161" spans="1:22" s="23" customFormat="1" ht="44.25" customHeight="1" x14ac:dyDescent="0.25">
      <c r="A161" s="25">
        <v>140</v>
      </c>
      <c r="B161" s="26" t="s">
        <v>237</v>
      </c>
      <c r="C161" s="25" t="s">
        <v>43</v>
      </c>
      <c r="D161" s="27" t="s">
        <v>86</v>
      </c>
      <c r="E161" s="27" t="s">
        <v>39</v>
      </c>
      <c r="F161" s="25" t="s">
        <v>48</v>
      </c>
      <c r="G161" s="28">
        <v>5</v>
      </c>
      <c r="H161" s="28">
        <v>2</v>
      </c>
      <c r="I161" s="29">
        <v>4073.2</v>
      </c>
      <c r="J161" s="29">
        <v>3074.2</v>
      </c>
      <c r="K161" s="29">
        <v>3219.6</v>
      </c>
      <c r="L161" s="30">
        <v>163</v>
      </c>
      <c r="M161" s="31">
        <f t="shared" si="10"/>
        <v>1177186.9200000002</v>
      </c>
      <c r="N161" s="29">
        <v>0</v>
      </c>
      <c r="O161" s="29">
        <v>0</v>
      </c>
      <c r="P161" s="29">
        <v>0</v>
      </c>
      <c r="Q161" s="32">
        <f>'Таблица 3 '!C151</f>
        <v>1177186.9200000002</v>
      </c>
      <c r="R161" s="29">
        <f t="shared" si="11"/>
        <v>1177186.9200000002</v>
      </c>
      <c r="S161" s="29">
        <v>0</v>
      </c>
      <c r="T161" s="29">
        <f t="shared" si="20"/>
        <v>382.92463730401414</v>
      </c>
      <c r="U161" s="29">
        <f t="shared" si="21"/>
        <v>382.92463730401414</v>
      </c>
      <c r="V161" s="33" t="s">
        <v>45</v>
      </c>
    </row>
    <row r="162" spans="1:22" s="23" customFormat="1" ht="44.25" customHeight="1" x14ac:dyDescent="0.25">
      <c r="A162" s="25">
        <v>141</v>
      </c>
      <c r="B162" s="26" t="s">
        <v>238</v>
      </c>
      <c r="C162" s="25" t="s">
        <v>43</v>
      </c>
      <c r="D162" s="27" t="s">
        <v>126</v>
      </c>
      <c r="E162" s="27" t="s">
        <v>140</v>
      </c>
      <c r="F162" s="25" t="s">
        <v>44</v>
      </c>
      <c r="G162" s="28">
        <v>2</v>
      </c>
      <c r="H162" s="28">
        <v>2</v>
      </c>
      <c r="I162" s="29">
        <v>605.79999999999995</v>
      </c>
      <c r="J162" s="29">
        <v>575.20000000000005</v>
      </c>
      <c r="K162" s="29">
        <v>374.3</v>
      </c>
      <c r="L162" s="30">
        <v>35</v>
      </c>
      <c r="M162" s="31">
        <f t="shared" si="10"/>
        <v>137006.10999999999</v>
      </c>
      <c r="N162" s="29">
        <v>0</v>
      </c>
      <c r="O162" s="29">
        <v>0</v>
      </c>
      <c r="P162" s="29">
        <v>0</v>
      </c>
      <c r="Q162" s="32">
        <f>'Таблица 3 '!C152</f>
        <v>137006.10999999999</v>
      </c>
      <c r="R162" s="29">
        <f t="shared" si="11"/>
        <v>137006.10999999999</v>
      </c>
      <c r="S162" s="29">
        <v>0</v>
      </c>
      <c r="T162" s="29">
        <f t="shared" si="20"/>
        <v>238.18864742698187</v>
      </c>
      <c r="U162" s="29">
        <f t="shared" si="21"/>
        <v>238.18864742698187</v>
      </c>
      <c r="V162" s="33" t="s">
        <v>45</v>
      </c>
    </row>
    <row r="163" spans="1:22" s="23" customFormat="1" ht="44.25" customHeight="1" x14ac:dyDescent="0.25">
      <c r="A163" s="25">
        <v>142</v>
      </c>
      <c r="B163" s="26" t="s">
        <v>239</v>
      </c>
      <c r="C163" s="25" t="s">
        <v>43</v>
      </c>
      <c r="D163" s="25">
        <v>1958</v>
      </c>
      <c r="E163" s="27" t="s">
        <v>228</v>
      </c>
      <c r="F163" s="25" t="s">
        <v>44</v>
      </c>
      <c r="G163" s="28">
        <v>2</v>
      </c>
      <c r="H163" s="28">
        <v>2</v>
      </c>
      <c r="I163" s="29">
        <v>877.4</v>
      </c>
      <c r="J163" s="29">
        <v>811.3</v>
      </c>
      <c r="K163" s="29">
        <v>816.7</v>
      </c>
      <c r="L163" s="30">
        <v>32</v>
      </c>
      <c r="M163" s="31">
        <f t="shared" si="10"/>
        <v>2428516.86</v>
      </c>
      <c r="N163" s="29">
        <v>0</v>
      </c>
      <c r="O163" s="29">
        <v>0</v>
      </c>
      <c r="P163" s="29">
        <v>0</v>
      </c>
      <c r="Q163" s="32">
        <f>'Таблица 3 '!C153</f>
        <v>2428516.86</v>
      </c>
      <c r="R163" s="29">
        <f t="shared" si="11"/>
        <v>2428516.86</v>
      </c>
      <c r="S163" s="29">
        <v>0</v>
      </c>
      <c r="T163" s="29">
        <f t="shared" si="20"/>
        <v>2993.364797238999</v>
      </c>
      <c r="U163" s="29">
        <f t="shared" si="21"/>
        <v>2993.364797238999</v>
      </c>
      <c r="V163" s="33" t="s">
        <v>45</v>
      </c>
    </row>
    <row r="164" spans="1:22" s="23" customFormat="1" ht="44.25" customHeight="1" x14ac:dyDescent="0.25">
      <c r="A164" s="25">
        <v>143</v>
      </c>
      <c r="B164" s="26" t="s">
        <v>240</v>
      </c>
      <c r="C164" s="25" t="s">
        <v>43</v>
      </c>
      <c r="D164" s="27" t="s">
        <v>230</v>
      </c>
      <c r="E164" s="27" t="s">
        <v>63</v>
      </c>
      <c r="F164" s="25" t="s">
        <v>44</v>
      </c>
      <c r="G164" s="28">
        <v>2</v>
      </c>
      <c r="H164" s="28">
        <v>2</v>
      </c>
      <c r="I164" s="29">
        <v>922.9</v>
      </c>
      <c r="J164" s="29">
        <v>836.4</v>
      </c>
      <c r="K164" s="29">
        <v>630.70000000000005</v>
      </c>
      <c r="L164" s="30">
        <v>27</v>
      </c>
      <c r="M164" s="31">
        <f t="shared" ref="M164:M222" si="22">SUM(N164:Q164)</f>
        <v>128679.39</v>
      </c>
      <c r="N164" s="29">
        <v>0</v>
      </c>
      <c r="O164" s="29">
        <v>0</v>
      </c>
      <c r="P164" s="29">
        <v>0</v>
      </c>
      <c r="Q164" s="32">
        <f>'Таблица 3 '!C154</f>
        <v>128679.39</v>
      </c>
      <c r="R164" s="29">
        <f t="shared" ref="R164:R222" si="23">Q164</f>
        <v>128679.39</v>
      </c>
      <c r="S164" s="29">
        <v>0</v>
      </c>
      <c r="T164" s="29">
        <f t="shared" si="20"/>
        <v>153.84910329985652</v>
      </c>
      <c r="U164" s="29">
        <f t="shared" si="21"/>
        <v>153.84910329985652</v>
      </c>
      <c r="V164" s="33" t="s">
        <v>45</v>
      </c>
    </row>
    <row r="165" spans="1:22" s="23" customFormat="1" ht="44.25" customHeight="1" x14ac:dyDescent="0.25">
      <c r="A165" s="25">
        <v>144</v>
      </c>
      <c r="B165" s="26" t="s">
        <v>241</v>
      </c>
      <c r="C165" s="25" t="s">
        <v>43</v>
      </c>
      <c r="D165" s="25">
        <v>1935</v>
      </c>
      <c r="E165" s="27" t="s">
        <v>39</v>
      </c>
      <c r="F165" s="25" t="s">
        <v>242</v>
      </c>
      <c r="G165" s="28">
        <v>2</v>
      </c>
      <c r="H165" s="28">
        <v>2</v>
      </c>
      <c r="I165" s="32">
        <v>555</v>
      </c>
      <c r="J165" s="32">
        <v>499.5</v>
      </c>
      <c r="K165" s="32">
        <v>499.5</v>
      </c>
      <c r="L165" s="35">
        <v>20</v>
      </c>
      <c r="M165" s="31">
        <f t="shared" si="22"/>
        <v>2060329.83</v>
      </c>
      <c r="N165" s="29">
        <v>0</v>
      </c>
      <c r="O165" s="29">
        <v>0</v>
      </c>
      <c r="P165" s="29">
        <v>0</v>
      </c>
      <c r="Q165" s="32">
        <f>'Таблица 3 '!C155</f>
        <v>2060329.83</v>
      </c>
      <c r="R165" s="29">
        <f t="shared" si="23"/>
        <v>2060329.83</v>
      </c>
      <c r="S165" s="29">
        <v>0</v>
      </c>
      <c r="T165" s="29">
        <f t="shared" si="20"/>
        <v>4124.7844444444445</v>
      </c>
      <c r="U165" s="29">
        <f t="shared" si="21"/>
        <v>4124.7844444444445</v>
      </c>
      <c r="V165" s="33" t="s">
        <v>45</v>
      </c>
    </row>
    <row r="166" spans="1:22" s="23" customFormat="1" ht="44.25" customHeight="1" x14ac:dyDescent="0.25">
      <c r="A166" s="25">
        <v>145</v>
      </c>
      <c r="B166" s="26" t="s">
        <v>243</v>
      </c>
      <c r="C166" s="25" t="s">
        <v>43</v>
      </c>
      <c r="D166" s="27" t="s">
        <v>244</v>
      </c>
      <c r="E166" s="27" t="s">
        <v>39</v>
      </c>
      <c r="F166" s="25" t="s">
        <v>44</v>
      </c>
      <c r="G166" s="28">
        <v>9</v>
      </c>
      <c r="H166" s="28">
        <v>4</v>
      </c>
      <c r="I166" s="29">
        <v>11117.3</v>
      </c>
      <c r="J166" s="29">
        <v>9860.7999999999993</v>
      </c>
      <c r="K166" s="29">
        <v>9860.7999999999993</v>
      </c>
      <c r="L166" s="30">
        <v>217</v>
      </c>
      <c r="M166" s="31">
        <f t="shared" si="22"/>
        <v>207514.73</v>
      </c>
      <c r="N166" s="29">
        <v>0</v>
      </c>
      <c r="O166" s="29">
        <v>0</v>
      </c>
      <c r="P166" s="29">
        <v>0</v>
      </c>
      <c r="Q166" s="32">
        <f>'Таблица 3 '!C156</f>
        <v>207514.73</v>
      </c>
      <c r="R166" s="29">
        <f t="shared" si="23"/>
        <v>207514.73</v>
      </c>
      <c r="S166" s="29">
        <v>0</v>
      </c>
      <c r="T166" s="29">
        <f t="shared" si="20"/>
        <v>21.044411203959115</v>
      </c>
      <c r="U166" s="29">
        <f t="shared" si="21"/>
        <v>21.044411203959115</v>
      </c>
      <c r="V166" s="33" t="s">
        <v>45</v>
      </c>
    </row>
    <row r="167" spans="1:22" s="23" customFormat="1" ht="44.25" customHeight="1" x14ac:dyDescent="0.25">
      <c r="A167" s="25">
        <v>146</v>
      </c>
      <c r="B167" s="26" t="s">
        <v>245</v>
      </c>
      <c r="C167" s="25" t="s">
        <v>43</v>
      </c>
      <c r="D167" s="25">
        <v>1960</v>
      </c>
      <c r="E167" s="27" t="s">
        <v>140</v>
      </c>
      <c r="F167" s="25" t="s">
        <v>44</v>
      </c>
      <c r="G167" s="28">
        <v>2</v>
      </c>
      <c r="H167" s="28">
        <v>1</v>
      </c>
      <c r="I167" s="29">
        <v>430.4</v>
      </c>
      <c r="J167" s="29">
        <v>381</v>
      </c>
      <c r="K167" s="29">
        <v>379.2</v>
      </c>
      <c r="L167" s="30">
        <v>17</v>
      </c>
      <c r="M167" s="31">
        <f t="shared" si="22"/>
        <v>156972</v>
      </c>
      <c r="N167" s="29">
        <v>0</v>
      </c>
      <c r="O167" s="29">
        <v>0</v>
      </c>
      <c r="P167" s="29">
        <v>0</v>
      </c>
      <c r="Q167" s="32">
        <f>'Таблица 3 '!C157</f>
        <v>156972</v>
      </c>
      <c r="R167" s="29">
        <f t="shared" si="23"/>
        <v>156972</v>
      </c>
      <c r="S167" s="29">
        <v>0</v>
      </c>
      <c r="T167" s="29">
        <f t="shared" si="20"/>
        <v>412</v>
      </c>
      <c r="U167" s="29">
        <f t="shared" si="21"/>
        <v>412</v>
      </c>
      <c r="V167" s="33" t="s">
        <v>45</v>
      </c>
    </row>
    <row r="168" spans="1:22" s="23" customFormat="1" ht="44.25" customHeight="1" x14ac:dyDescent="0.25">
      <c r="A168" s="25">
        <v>147</v>
      </c>
      <c r="B168" s="26" t="s">
        <v>246</v>
      </c>
      <c r="C168" s="25" t="s">
        <v>43</v>
      </c>
      <c r="D168" s="25">
        <v>1978</v>
      </c>
      <c r="E168" s="27" t="s">
        <v>63</v>
      </c>
      <c r="F168" s="25" t="s">
        <v>44</v>
      </c>
      <c r="G168" s="28">
        <v>5</v>
      </c>
      <c r="H168" s="28">
        <v>4</v>
      </c>
      <c r="I168" s="29">
        <v>3838</v>
      </c>
      <c r="J168" s="29">
        <v>3393.6</v>
      </c>
      <c r="K168" s="29">
        <v>3012.3</v>
      </c>
      <c r="L168" s="30">
        <v>121</v>
      </c>
      <c r="M168" s="31">
        <f t="shared" si="22"/>
        <v>326452.75</v>
      </c>
      <c r="N168" s="29">
        <v>0</v>
      </c>
      <c r="O168" s="29">
        <v>0</v>
      </c>
      <c r="P168" s="29">
        <v>0</v>
      </c>
      <c r="Q168" s="32">
        <f>'Таблица 3 '!C158</f>
        <v>326452.75</v>
      </c>
      <c r="R168" s="29">
        <f t="shared" si="23"/>
        <v>326452.75</v>
      </c>
      <c r="S168" s="29">
        <v>0</v>
      </c>
      <c r="T168" s="29">
        <f t="shared" si="20"/>
        <v>96.196590641206981</v>
      </c>
      <c r="U168" s="29">
        <f t="shared" si="21"/>
        <v>96.196590641206981</v>
      </c>
      <c r="V168" s="33" t="s">
        <v>45</v>
      </c>
    </row>
    <row r="169" spans="1:22" s="23" customFormat="1" ht="44.25" customHeight="1" x14ac:dyDescent="0.25">
      <c r="A169" s="25">
        <v>148</v>
      </c>
      <c r="B169" s="37" t="s">
        <v>247</v>
      </c>
      <c r="C169" s="25" t="s">
        <v>43</v>
      </c>
      <c r="D169" s="25">
        <v>1994</v>
      </c>
      <c r="E169" s="27" t="s">
        <v>228</v>
      </c>
      <c r="F169" s="25" t="s">
        <v>44</v>
      </c>
      <c r="G169" s="28">
        <v>5</v>
      </c>
      <c r="H169" s="28">
        <v>5</v>
      </c>
      <c r="I169" s="29">
        <v>4752.3</v>
      </c>
      <c r="J169" s="29">
        <v>3410.9</v>
      </c>
      <c r="K169" s="29">
        <v>3339.6</v>
      </c>
      <c r="L169" s="30">
        <v>168</v>
      </c>
      <c r="M169" s="31">
        <f t="shared" si="22"/>
        <v>427178.23999999999</v>
      </c>
      <c r="N169" s="29">
        <v>0</v>
      </c>
      <c r="O169" s="29">
        <v>0</v>
      </c>
      <c r="P169" s="29">
        <v>0</v>
      </c>
      <c r="Q169" s="32">
        <f>'Таблица 3 '!C159</f>
        <v>427178.23999999999</v>
      </c>
      <c r="R169" s="29">
        <f t="shared" si="23"/>
        <v>427178.23999999999</v>
      </c>
      <c r="S169" s="29">
        <v>0</v>
      </c>
      <c r="T169" s="29">
        <f t="shared" si="20"/>
        <v>125.23915682078044</v>
      </c>
      <c r="U169" s="29">
        <f t="shared" si="21"/>
        <v>125.23915682078044</v>
      </c>
      <c r="V169" s="33" t="s">
        <v>45</v>
      </c>
    </row>
    <row r="170" spans="1:22" s="23" customFormat="1" ht="44.25" customHeight="1" x14ac:dyDescent="0.25">
      <c r="A170" s="25">
        <v>149</v>
      </c>
      <c r="B170" s="26" t="s">
        <v>248</v>
      </c>
      <c r="C170" s="25" t="s">
        <v>43</v>
      </c>
      <c r="D170" s="25">
        <v>1962</v>
      </c>
      <c r="E170" s="27" t="s">
        <v>140</v>
      </c>
      <c r="F170" s="25" t="s">
        <v>77</v>
      </c>
      <c r="G170" s="28">
        <v>3</v>
      </c>
      <c r="H170" s="28">
        <v>4</v>
      </c>
      <c r="I170" s="32">
        <v>2536</v>
      </c>
      <c r="J170" s="32">
        <v>2372.1999999999998</v>
      </c>
      <c r="K170" s="32">
        <v>1808.1</v>
      </c>
      <c r="L170" s="35">
        <v>79</v>
      </c>
      <c r="M170" s="31">
        <f t="shared" si="22"/>
        <v>275116.64</v>
      </c>
      <c r="N170" s="29">
        <v>0</v>
      </c>
      <c r="O170" s="29">
        <v>0</v>
      </c>
      <c r="P170" s="29">
        <v>0</v>
      </c>
      <c r="Q170" s="32">
        <f>'Таблица 3 '!C160</f>
        <v>275116.64</v>
      </c>
      <c r="R170" s="29">
        <f t="shared" si="23"/>
        <v>275116.64</v>
      </c>
      <c r="S170" s="32">
        <v>0</v>
      </c>
      <c r="T170" s="29">
        <f t="shared" si="20"/>
        <v>115.97531405446422</v>
      </c>
      <c r="U170" s="29">
        <f t="shared" si="21"/>
        <v>115.97531405446422</v>
      </c>
      <c r="V170" s="33" t="s">
        <v>45</v>
      </c>
    </row>
    <row r="171" spans="1:22" s="23" customFormat="1" ht="44.25" customHeight="1" x14ac:dyDescent="0.25">
      <c r="A171" s="25">
        <v>150</v>
      </c>
      <c r="B171" s="26" t="s">
        <v>249</v>
      </c>
      <c r="C171" s="25" t="s">
        <v>43</v>
      </c>
      <c r="D171" s="25">
        <v>1961</v>
      </c>
      <c r="E171" s="27" t="s">
        <v>228</v>
      </c>
      <c r="F171" s="25" t="s">
        <v>44</v>
      </c>
      <c r="G171" s="28">
        <v>4</v>
      </c>
      <c r="H171" s="28">
        <v>3</v>
      </c>
      <c r="I171" s="29">
        <v>2605.8000000000002</v>
      </c>
      <c r="J171" s="29">
        <v>1807.6</v>
      </c>
      <c r="K171" s="29">
        <v>1697.1</v>
      </c>
      <c r="L171" s="30">
        <v>69</v>
      </c>
      <c r="M171" s="31">
        <f t="shared" si="22"/>
        <v>289965.01</v>
      </c>
      <c r="N171" s="29">
        <v>0</v>
      </c>
      <c r="O171" s="29">
        <v>0</v>
      </c>
      <c r="P171" s="29">
        <v>0</v>
      </c>
      <c r="Q171" s="32">
        <f>'Таблица 3 '!C161</f>
        <v>289965.01</v>
      </c>
      <c r="R171" s="29">
        <f t="shared" si="23"/>
        <v>289965.01</v>
      </c>
      <c r="S171" s="29">
        <v>0</v>
      </c>
      <c r="T171" s="29">
        <f t="shared" si="20"/>
        <v>160.41436711661873</v>
      </c>
      <c r="U171" s="29">
        <f t="shared" si="21"/>
        <v>160.41436711661873</v>
      </c>
      <c r="V171" s="33" t="s">
        <v>45</v>
      </c>
    </row>
    <row r="172" spans="1:22" s="23" customFormat="1" ht="44.25" customHeight="1" x14ac:dyDescent="0.25">
      <c r="A172" s="25">
        <v>151</v>
      </c>
      <c r="B172" s="26" t="s">
        <v>250</v>
      </c>
      <c r="C172" s="25" t="s">
        <v>43</v>
      </c>
      <c r="D172" s="27">
        <v>1958</v>
      </c>
      <c r="E172" s="27" t="s">
        <v>39</v>
      </c>
      <c r="F172" s="25" t="s">
        <v>44</v>
      </c>
      <c r="G172" s="28">
        <v>2</v>
      </c>
      <c r="H172" s="28">
        <v>1</v>
      </c>
      <c r="I172" s="29">
        <v>378.4</v>
      </c>
      <c r="J172" s="29">
        <v>294.3</v>
      </c>
      <c r="K172" s="29">
        <v>294.3</v>
      </c>
      <c r="L172" s="30">
        <v>26</v>
      </c>
      <c r="M172" s="31">
        <f t="shared" si="22"/>
        <v>3058413.28</v>
      </c>
      <c r="N172" s="29">
        <v>0</v>
      </c>
      <c r="O172" s="29">
        <v>0</v>
      </c>
      <c r="P172" s="29">
        <v>0</v>
      </c>
      <c r="Q172" s="32">
        <f>'Таблица 3 '!C162</f>
        <v>3058413.28</v>
      </c>
      <c r="R172" s="29">
        <f t="shared" si="23"/>
        <v>3058413.28</v>
      </c>
      <c r="S172" s="29">
        <v>0</v>
      </c>
      <c r="T172" s="29">
        <f t="shared" si="20"/>
        <v>10392.162011552837</v>
      </c>
      <c r="U172" s="29">
        <f t="shared" si="21"/>
        <v>10392.162011552837</v>
      </c>
      <c r="V172" s="33" t="s">
        <v>45</v>
      </c>
    </row>
    <row r="173" spans="1:22" s="23" customFormat="1" ht="44.25" customHeight="1" x14ac:dyDescent="0.25">
      <c r="A173" s="25">
        <v>152</v>
      </c>
      <c r="B173" s="26" t="s">
        <v>251</v>
      </c>
      <c r="C173" s="25" t="s">
        <v>43</v>
      </c>
      <c r="D173" s="27" t="s">
        <v>225</v>
      </c>
      <c r="E173" s="27" t="s">
        <v>228</v>
      </c>
      <c r="F173" s="25" t="s">
        <v>44</v>
      </c>
      <c r="G173" s="28">
        <v>3</v>
      </c>
      <c r="H173" s="28">
        <v>2</v>
      </c>
      <c r="I173" s="29">
        <v>1133.4000000000001</v>
      </c>
      <c r="J173" s="29">
        <v>1121.8</v>
      </c>
      <c r="K173" s="29">
        <v>858.1</v>
      </c>
      <c r="L173" s="30">
        <v>59</v>
      </c>
      <c r="M173" s="31">
        <f t="shared" si="22"/>
        <v>4386728.75</v>
      </c>
      <c r="N173" s="29">
        <v>0</v>
      </c>
      <c r="O173" s="29">
        <v>0</v>
      </c>
      <c r="P173" s="29">
        <v>0</v>
      </c>
      <c r="Q173" s="32">
        <f>'Таблица 3 '!C163</f>
        <v>4386728.75</v>
      </c>
      <c r="R173" s="29">
        <f t="shared" si="23"/>
        <v>4386728.75</v>
      </c>
      <c r="S173" s="29">
        <v>0</v>
      </c>
      <c r="T173" s="29">
        <f t="shared" si="20"/>
        <v>3910.4374665715814</v>
      </c>
      <c r="U173" s="29">
        <f t="shared" si="21"/>
        <v>3910.4374665715814</v>
      </c>
      <c r="V173" s="33" t="s">
        <v>45</v>
      </c>
    </row>
    <row r="174" spans="1:22" s="23" customFormat="1" ht="44.25" customHeight="1" x14ac:dyDescent="0.25">
      <c r="A174" s="25">
        <v>153</v>
      </c>
      <c r="B174" s="26" t="s">
        <v>252</v>
      </c>
      <c r="C174" s="25" t="s">
        <v>43</v>
      </c>
      <c r="D174" s="27">
        <v>1958</v>
      </c>
      <c r="E174" s="27" t="s">
        <v>39</v>
      </c>
      <c r="F174" s="25" t="s">
        <v>44</v>
      </c>
      <c r="G174" s="28">
        <v>3</v>
      </c>
      <c r="H174" s="28">
        <v>3</v>
      </c>
      <c r="I174" s="29">
        <v>4717.1000000000004</v>
      </c>
      <c r="J174" s="29">
        <v>2313.1</v>
      </c>
      <c r="K174" s="29">
        <v>2313.1</v>
      </c>
      <c r="L174" s="30">
        <v>219</v>
      </c>
      <c r="M174" s="31">
        <f t="shared" si="22"/>
        <v>9531206.9800000004</v>
      </c>
      <c r="N174" s="29">
        <v>0</v>
      </c>
      <c r="O174" s="29">
        <v>0</v>
      </c>
      <c r="P174" s="29">
        <v>0</v>
      </c>
      <c r="Q174" s="32">
        <f>'Таблица 3 '!C164</f>
        <v>9531206.9800000004</v>
      </c>
      <c r="R174" s="29">
        <f t="shared" si="23"/>
        <v>9531206.9800000004</v>
      </c>
      <c r="S174" s="29">
        <v>0</v>
      </c>
      <c r="T174" s="29">
        <f t="shared" si="20"/>
        <v>4120.5339068782159</v>
      </c>
      <c r="U174" s="29">
        <f t="shared" si="21"/>
        <v>4120.5339068782159</v>
      </c>
      <c r="V174" s="33" t="s">
        <v>45</v>
      </c>
    </row>
    <row r="175" spans="1:22" s="23" customFormat="1" ht="44.25" customHeight="1" x14ac:dyDescent="0.25">
      <c r="A175" s="25">
        <v>154</v>
      </c>
      <c r="B175" s="26" t="s">
        <v>253</v>
      </c>
      <c r="C175" s="25" t="s">
        <v>43</v>
      </c>
      <c r="D175" s="27" t="s">
        <v>126</v>
      </c>
      <c r="E175" s="27" t="s">
        <v>39</v>
      </c>
      <c r="F175" s="25" t="s">
        <v>44</v>
      </c>
      <c r="G175" s="28">
        <v>4</v>
      </c>
      <c r="H175" s="28">
        <v>3</v>
      </c>
      <c r="I175" s="29">
        <v>1915.1</v>
      </c>
      <c r="J175" s="29">
        <v>1915.1</v>
      </c>
      <c r="K175" s="29">
        <v>1618.8</v>
      </c>
      <c r="L175" s="30">
        <v>29</v>
      </c>
      <c r="M175" s="31">
        <f t="shared" si="22"/>
        <v>8320024.5300000003</v>
      </c>
      <c r="N175" s="29">
        <v>0</v>
      </c>
      <c r="O175" s="29">
        <v>0</v>
      </c>
      <c r="P175" s="29">
        <v>0</v>
      </c>
      <c r="Q175" s="32">
        <f>'Таблица 3 '!C165</f>
        <v>8320024.5300000003</v>
      </c>
      <c r="R175" s="29">
        <f t="shared" si="23"/>
        <v>8320024.5300000003</v>
      </c>
      <c r="S175" s="29">
        <v>0</v>
      </c>
      <c r="T175" s="29">
        <f t="shared" si="20"/>
        <v>4344.4334656153733</v>
      </c>
      <c r="U175" s="29">
        <f t="shared" si="21"/>
        <v>4344.4334656153733</v>
      </c>
      <c r="V175" s="33" t="s">
        <v>45</v>
      </c>
    </row>
    <row r="176" spans="1:22" s="23" customFormat="1" ht="44.25" customHeight="1" x14ac:dyDescent="0.25">
      <c r="A176" s="25">
        <v>155</v>
      </c>
      <c r="B176" s="26" t="s">
        <v>254</v>
      </c>
      <c r="C176" s="25" t="s">
        <v>43</v>
      </c>
      <c r="D176" s="25">
        <v>1991</v>
      </c>
      <c r="E176" s="27" t="s">
        <v>57</v>
      </c>
      <c r="F176" s="25" t="s">
        <v>48</v>
      </c>
      <c r="G176" s="28">
        <v>10</v>
      </c>
      <c r="H176" s="28">
        <v>3</v>
      </c>
      <c r="I176" s="29">
        <v>7546.5</v>
      </c>
      <c r="J176" s="29">
        <v>7262.7</v>
      </c>
      <c r="K176" s="29">
        <v>7094.8</v>
      </c>
      <c r="L176" s="30">
        <v>283</v>
      </c>
      <c r="M176" s="31">
        <f t="shared" si="22"/>
        <v>508697.59</v>
      </c>
      <c r="N176" s="29">
        <v>0</v>
      </c>
      <c r="O176" s="29">
        <v>0</v>
      </c>
      <c r="P176" s="29">
        <v>0</v>
      </c>
      <c r="Q176" s="32">
        <f>'Таблица 3 '!C166</f>
        <v>508697.59</v>
      </c>
      <c r="R176" s="29">
        <f t="shared" si="23"/>
        <v>508697.59</v>
      </c>
      <c r="S176" s="29">
        <v>0</v>
      </c>
      <c r="T176" s="29">
        <f t="shared" si="20"/>
        <v>70.042489707684481</v>
      </c>
      <c r="U176" s="29">
        <f t="shared" si="21"/>
        <v>70.042489707684481</v>
      </c>
      <c r="V176" s="33" t="s">
        <v>45</v>
      </c>
    </row>
    <row r="177" spans="1:23" s="23" customFormat="1" ht="44.25" customHeight="1" x14ac:dyDescent="0.25">
      <c r="A177" s="25">
        <v>156</v>
      </c>
      <c r="B177" s="26" t="s">
        <v>255</v>
      </c>
      <c r="C177" s="25" t="s">
        <v>43</v>
      </c>
      <c r="D177" s="25">
        <v>1983</v>
      </c>
      <c r="E177" s="27" t="s">
        <v>39</v>
      </c>
      <c r="F177" s="25" t="s">
        <v>44</v>
      </c>
      <c r="G177" s="28">
        <v>5</v>
      </c>
      <c r="H177" s="28">
        <v>4</v>
      </c>
      <c r="I177" s="29">
        <v>3007.9</v>
      </c>
      <c r="J177" s="29">
        <v>2755.5</v>
      </c>
      <c r="K177" s="29">
        <v>2598.6</v>
      </c>
      <c r="L177" s="30">
        <v>115</v>
      </c>
      <c r="M177" s="31">
        <f t="shared" si="22"/>
        <v>341152.75</v>
      </c>
      <c r="N177" s="29">
        <v>0</v>
      </c>
      <c r="O177" s="29">
        <v>0</v>
      </c>
      <c r="P177" s="29">
        <v>0</v>
      </c>
      <c r="Q177" s="32">
        <f>'Таблица 3 '!C167</f>
        <v>341152.75</v>
      </c>
      <c r="R177" s="29">
        <f t="shared" si="23"/>
        <v>341152.75</v>
      </c>
      <c r="S177" s="29">
        <v>0</v>
      </c>
      <c r="T177" s="29">
        <f t="shared" si="20"/>
        <v>123.80792959535475</v>
      </c>
      <c r="U177" s="29">
        <f t="shared" si="21"/>
        <v>123.80792959535475</v>
      </c>
      <c r="V177" s="33" t="s">
        <v>45</v>
      </c>
    </row>
    <row r="178" spans="1:23" s="23" customFormat="1" ht="44.25" customHeight="1" x14ac:dyDescent="0.25">
      <c r="A178" s="25">
        <v>157</v>
      </c>
      <c r="B178" s="26" t="s">
        <v>256</v>
      </c>
      <c r="C178" s="25" t="s">
        <v>43</v>
      </c>
      <c r="D178" s="27" t="s">
        <v>132</v>
      </c>
      <c r="E178" s="27" t="s">
        <v>50</v>
      </c>
      <c r="F178" s="25" t="s">
        <v>48</v>
      </c>
      <c r="G178" s="28">
        <v>5</v>
      </c>
      <c r="H178" s="28">
        <v>4</v>
      </c>
      <c r="I178" s="29">
        <v>3947.2</v>
      </c>
      <c r="J178" s="29">
        <v>2349.4</v>
      </c>
      <c r="K178" s="29">
        <v>1939</v>
      </c>
      <c r="L178" s="30">
        <v>80</v>
      </c>
      <c r="M178" s="31">
        <f t="shared" si="22"/>
        <v>275867.2</v>
      </c>
      <c r="N178" s="29">
        <v>0</v>
      </c>
      <c r="O178" s="29">
        <v>0</v>
      </c>
      <c r="P178" s="29">
        <v>0</v>
      </c>
      <c r="Q178" s="32">
        <f>'Таблица 3 '!C168</f>
        <v>275867.2</v>
      </c>
      <c r="R178" s="29">
        <f t="shared" si="23"/>
        <v>275867.2</v>
      </c>
      <c r="S178" s="29">
        <v>0</v>
      </c>
      <c r="T178" s="29">
        <f t="shared" si="20"/>
        <v>117.42027751766409</v>
      </c>
      <c r="U178" s="29">
        <f t="shared" si="21"/>
        <v>117.42027751766409</v>
      </c>
      <c r="V178" s="33" t="s">
        <v>45</v>
      </c>
    </row>
    <row r="179" spans="1:23" s="23" customFormat="1" ht="44.25" customHeight="1" x14ac:dyDescent="0.25">
      <c r="A179" s="25">
        <v>158</v>
      </c>
      <c r="B179" s="26" t="s">
        <v>257</v>
      </c>
      <c r="C179" s="25" t="s">
        <v>43</v>
      </c>
      <c r="D179" s="25">
        <v>1975</v>
      </c>
      <c r="E179" s="27" t="s">
        <v>39</v>
      </c>
      <c r="F179" s="25" t="s">
        <v>44</v>
      </c>
      <c r="G179" s="28">
        <v>5</v>
      </c>
      <c r="H179" s="28">
        <v>6</v>
      </c>
      <c r="I179" s="29">
        <v>5986.6</v>
      </c>
      <c r="J179" s="29">
        <v>4511</v>
      </c>
      <c r="K179" s="29">
        <v>4428.7</v>
      </c>
      <c r="L179" s="30">
        <v>150</v>
      </c>
      <c r="M179" s="31">
        <f t="shared" si="22"/>
        <v>16067994.93</v>
      </c>
      <c r="N179" s="29">
        <v>0</v>
      </c>
      <c r="O179" s="29">
        <v>0</v>
      </c>
      <c r="P179" s="29">
        <v>0</v>
      </c>
      <c r="Q179" s="32">
        <f>'Таблица 3 '!C169</f>
        <v>16067994.93</v>
      </c>
      <c r="R179" s="29">
        <f t="shared" si="23"/>
        <v>16067994.93</v>
      </c>
      <c r="S179" s="29">
        <v>0</v>
      </c>
      <c r="T179" s="29">
        <f t="shared" si="20"/>
        <v>3561.9585302593659</v>
      </c>
      <c r="U179" s="29">
        <f t="shared" si="21"/>
        <v>3561.9585302593659</v>
      </c>
      <c r="V179" s="33" t="s">
        <v>45</v>
      </c>
    </row>
    <row r="180" spans="1:23" s="23" customFormat="1" ht="44.25" customHeight="1" x14ac:dyDescent="0.25">
      <c r="A180" s="25">
        <v>159</v>
      </c>
      <c r="B180" s="26" t="s">
        <v>258</v>
      </c>
      <c r="C180" s="25" t="s">
        <v>43</v>
      </c>
      <c r="D180" s="25">
        <v>1987</v>
      </c>
      <c r="E180" s="27" t="s">
        <v>50</v>
      </c>
      <c r="F180" s="25" t="s">
        <v>48</v>
      </c>
      <c r="G180" s="28">
        <v>9</v>
      </c>
      <c r="H180" s="28">
        <v>3</v>
      </c>
      <c r="I180" s="32">
        <v>7868</v>
      </c>
      <c r="J180" s="32">
        <v>7783.4</v>
      </c>
      <c r="K180" s="32">
        <v>7401.8</v>
      </c>
      <c r="L180" s="35">
        <v>362</v>
      </c>
      <c r="M180" s="31">
        <f t="shared" si="22"/>
        <v>417499.58</v>
      </c>
      <c r="N180" s="29">
        <v>0</v>
      </c>
      <c r="O180" s="29">
        <v>0</v>
      </c>
      <c r="P180" s="29">
        <v>0</v>
      </c>
      <c r="Q180" s="32">
        <f>'Таблица 3 '!C170</f>
        <v>417499.58</v>
      </c>
      <c r="R180" s="29">
        <f t="shared" si="23"/>
        <v>417499.58</v>
      </c>
      <c r="S180" s="32">
        <v>0</v>
      </c>
      <c r="T180" s="29">
        <f t="shared" si="20"/>
        <v>53.639743556800376</v>
      </c>
      <c r="U180" s="29">
        <f t="shared" si="21"/>
        <v>53.639743556800376</v>
      </c>
      <c r="V180" s="33" t="s">
        <v>45</v>
      </c>
    </row>
    <row r="181" spans="1:23" s="23" customFormat="1" ht="44.25" customHeight="1" x14ac:dyDescent="0.25">
      <c r="A181" s="25">
        <v>160</v>
      </c>
      <c r="B181" s="26" t="s">
        <v>259</v>
      </c>
      <c r="C181" s="25" t="s">
        <v>43</v>
      </c>
      <c r="D181" s="25">
        <v>1988</v>
      </c>
      <c r="E181" s="27" t="s">
        <v>39</v>
      </c>
      <c r="F181" s="25" t="s">
        <v>44</v>
      </c>
      <c r="G181" s="28">
        <v>3</v>
      </c>
      <c r="H181" s="28">
        <v>1</v>
      </c>
      <c r="I181" s="29">
        <v>1747.3</v>
      </c>
      <c r="J181" s="29">
        <v>561.6</v>
      </c>
      <c r="K181" s="29">
        <v>482.8</v>
      </c>
      <c r="L181" s="30">
        <v>79</v>
      </c>
      <c r="M181" s="31">
        <f t="shared" si="22"/>
        <v>878766.19</v>
      </c>
      <c r="N181" s="29">
        <v>0</v>
      </c>
      <c r="O181" s="29">
        <v>0</v>
      </c>
      <c r="P181" s="29">
        <v>0</v>
      </c>
      <c r="Q181" s="32">
        <f>'Таблица 3 '!C171</f>
        <v>878766.19</v>
      </c>
      <c r="R181" s="29">
        <f t="shared" si="23"/>
        <v>878766.19</v>
      </c>
      <c r="S181" s="29">
        <v>0</v>
      </c>
      <c r="T181" s="29">
        <f t="shared" si="20"/>
        <v>1564.7546118233618</v>
      </c>
      <c r="U181" s="29">
        <f t="shared" si="21"/>
        <v>1564.7546118233618</v>
      </c>
      <c r="V181" s="33" t="s">
        <v>45</v>
      </c>
    </row>
    <row r="182" spans="1:23" s="23" customFormat="1" ht="44.25" customHeight="1" x14ac:dyDescent="0.25">
      <c r="A182" s="25">
        <v>161</v>
      </c>
      <c r="B182" s="36" t="s">
        <v>260</v>
      </c>
      <c r="C182" s="25" t="s">
        <v>43</v>
      </c>
      <c r="D182" s="25">
        <v>1984</v>
      </c>
      <c r="E182" s="27" t="s">
        <v>39</v>
      </c>
      <c r="F182" s="25" t="s">
        <v>48</v>
      </c>
      <c r="G182" s="28">
        <v>5</v>
      </c>
      <c r="H182" s="28">
        <v>4</v>
      </c>
      <c r="I182" s="32">
        <v>4013.12</v>
      </c>
      <c r="J182" s="32">
        <v>2895.1</v>
      </c>
      <c r="K182" s="32">
        <v>2850.7</v>
      </c>
      <c r="L182" s="35">
        <v>111</v>
      </c>
      <c r="M182" s="31">
        <f t="shared" si="22"/>
        <v>3321610.6300000004</v>
      </c>
      <c r="N182" s="29">
        <v>0</v>
      </c>
      <c r="O182" s="29">
        <v>0</v>
      </c>
      <c r="P182" s="29">
        <v>0</v>
      </c>
      <c r="Q182" s="32">
        <f>'Таблица 3 '!C172</f>
        <v>3321610.6300000004</v>
      </c>
      <c r="R182" s="29">
        <f t="shared" si="23"/>
        <v>3321610.6300000004</v>
      </c>
      <c r="S182" s="32">
        <v>0</v>
      </c>
      <c r="T182" s="29">
        <f t="shared" si="20"/>
        <v>1147.3215536596319</v>
      </c>
      <c r="U182" s="29">
        <f t="shared" si="21"/>
        <v>1147.3215536596319</v>
      </c>
      <c r="V182" s="33" t="s">
        <v>45</v>
      </c>
    </row>
    <row r="183" spans="1:23" s="23" customFormat="1" ht="44.25" customHeight="1" x14ac:dyDescent="0.25">
      <c r="A183" s="25">
        <v>162</v>
      </c>
      <c r="B183" s="36" t="s">
        <v>261</v>
      </c>
      <c r="C183" s="25" t="s">
        <v>43</v>
      </c>
      <c r="D183" s="25">
        <v>1950</v>
      </c>
      <c r="E183" s="27" t="s">
        <v>140</v>
      </c>
      <c r="F183" s="25" t="s">
        <v>44</v>
      </c>
      <c r="G183" s="28">
        <v>3</v>
      </c>
      <c r="H183" s="28">
        <v>2</v>
      </c>
      <c r="I183" s="29">
        <v>1350.5</v>
      </c>
      <c r="J183" s="29">
        <v>1018.3</v>
      </c>
      <c r="K183" s="29">
        <v>1018.3</v>
      </c>
      <c r="L183" s="30">
        <v>18</v>
      </c>
      <c r="M183" s="31">
        <f t="shared" si="22"/>
        <v>552648.25</v>
      </c>
      <c r="N183" s="29">
        <v>0</v>
      </c>
      <c r="O183" s="29">
        <v>0</v>
      </c>
      <c r="P183" s="29">
        <v>0</v>
      </c>
      <c r="Q183" s="32">
        <f>'Таблица 3 '!C173</f>
        <v>552648.25</v>
      </c>
      <c r="R183" s="29">
        <f t="shared" si="23"/>
        <v>552648.25</v>
      </c>
      <c r="S183" s="29">
        <v>0</v>
      </c>
      <c r="T183" s="29">
        <f t="shared" si="20"/>
        <v>542.71653736619862</v>
      </c>
      <c r="U183" s="29">
        <f t="shared" si="21"/>
        <v>542.71653736619862</v>
      </c>
      <c r="V183" s="33" t="s">
        <v>45</v>
      </c>
    </row>
    <row r="184" spans="1:23" s="23" customFormat="1" ht="44.25" customHeight="1" x14ac:dyDescent="0.25">
      <c r="A184" s="25">
        <v>163</v>
      </c>
      <c r="B184" s="36" t="s">
        <v>260</v>
      </c>
      <c r="C184" s="25" t="s">
        <v>43</v>
      </c>
      <c r="D184" s="25">
        <v>1984</v>
      </c>
      <c r="E184" s="27" t="s">
        <v>39</v>
      </c>
      <c r="F184" s="25" t="s">
        <v>48</v>
      </c>
      <c r="G184" s="28">
        <v>5</v>
      </c>
      <c r="H184" s="28">
        <v>4</v>
      </c>
      <c r="I184" s="32">
        <v>4013.12</v>
      </c>
      <c r="J184" s="32">
        <v>2895.1</v>
      </c>
      <c r="K184" s="32">
        <v>2850.7</v>
      </c>
      <c r="L184" s="35">
        <v>111</v>
      </c>
      <c r="M184" s="31">
        <f t="shared" si="22"/>
        <v>265265.28999999998</v>
      </c>
      <c r="N184" s="29">
        <v>0</v>
      </c>
      <c r="O184" s="29">
        <v>0</v>
      </c>
      <c r="P184" s="29">
        <v>0</v>
      </c>
      <c r="Q184" s="32">
        <f>'Таблица 3 '!C174</f>
        <v>265265.28999999998</v>
      </c>
      <c r="R184" s="29">
        <f t="shared" si="23"/>
        <v>265265.28999999998</v>
      </c>
      <c r="S184" s="32">
        <v>0</v>
      </c>
      <c r="T184" s="29">
        <f t="shared" si="20"/>
        <v>91.62560533314911</v>
      </c>
      <c r="U184" s="29">
        <f t="shared" si="21"/>
        <v>91.62560533314911</v>
      </c>
      <c r="V184" s="33" t="s">
        <v>45</v>
      </c>
    </row>
    <row r="185" spans="1:23" s="23" customFormat="1" ht="44.25" customHeight="1" x14ac:dyDescent="0.25">
      <c r="A185" s="25">
        <v>164</v>
      </c>
      <c r="B185" s="36" t="s">
        <v>262</v>
      </c>
      <c r="C185" s="25" t="s">
        <v>43</v>
      </c>
      <c r="D185" s="25">
        <v>1990</v>
      </c>
      <c r="E185" s="27" t="s">
        <v>39</v>
      </c>
      <c r="F185" s="25" t="s">
        <v>77</v>
      </c>
      <c r="G185" s="28">
        <v>5</v>
      </c>
      <c r="H185" s="28">
        <v>4</v>
      </c>
      <c r="I185" s="32">
        <v>3052.25</v>
      </c>
      <c r="J185" s="32">
        <v>2945.5</v>
      </c>
      <c r="K185" s="32">
        <v>2945.45</v>
      </c>
      <c r="L185" s="35">
        <v>89</v>
      </c>
      <c r="M185" s="31">
        <f t="shared" si="22"/>
        <v>198337.28</v>
      </c>
      <c r="N185" s="29">
        <v>0</v>
      </c>
      <c r="O185" s="29">
        <v>0</v>
      </c>
      <c r="P185" s="29">
        <v>0</v>
      </c>
      <c r="Q185" s="32">
        <f>'Таблица 3 '!C175</f>
        <v>198337.28</v>
      </c>
      <c r="R185" s="29">
        <f t="shared" si="23"/>
        <v>198337.28</v>
      </c>
      <c r="S185" s="29">
        <v>0</v>
      </c>
      <c r="T185" s="29">
        <f t="shared" si="20"/>
        <v>67.33569173315226</v>
      </c>
      <c r="U185" s="29">
        <f t="shared" si="21"/>
        <v>67.33569173315226</v>
      </c>
      <c r="V185" s="33" t="s">
        <v>45</v>
      </c>
    </row>
    <row r="186" spans="1:23" s="23" customFormat="1" ht="44.25" customHeight="1" x14ac:dyDescent="0.25">
      <c r="A186" s="25">
        <v>165</v>
      </c>
      <c r="B186" s="26" t="s">
        <v>263</v>
      </c>
      <c r="C186" s="25" t="s">
        <v>43</v>
      </c>
      <c r="D186" s="27" t="s">
        <v>264</v>
      </c>
      <c r="E186" s="27" t="s">
        <v>57</v>
      </c>
      <c r="F186" s="25" t="s">
        <v>44</v>
      </c>
      <c r="G186" s="28">
        <v>12</v>
      </c>
      <c r="H186" s="28">
        <v>1</v>
      </c>
      <c r="I186" s="29">
        <v>8382.9</v>
      </c>
      <c r="J186" s="29">
        <v>6068</v>
      </c>
      <c r="K186" s="29">
        <v>5217</v>
      </c>
      <c r="L186" s="30">
        <v>132</v>
      </c>
      <c r="M186" s="31">
        <f t="shared" si="22"/>
        <v>7217703.7599999998</v>
      </c>
      <c r="N186" s="29">
        <v>0</v>
      </c>
      <c r="O186" s="29">
        <v>0</v>
      </c>
      <c r="P186" s="29">
        <v>0</v>
      </c>
      <c r="Q186" s="32">
        <f>'Таблица 3 '!C176</f>
        <v>7217703.7599999998</v>
      </c>
      <c r="R186" s="29">
        <f t="shared" si="23"/>
        <v>7217703.7599999998</v>
      </c>
      <c r="S186" s="29">
        <v>0</v>
      </c>
      <c r="T186" s="29">
        <f t="shared" si="20"/>
        <v>1189.4699670402108</v>
      </c>
      <c r="U186" s="29">
        <f t="shared" si="21"/>
        <v>1189.4699670402108</v>
      </c>
      <c r="V186" s="33" t="s">
        <v>45</v>
      </c>
    </row>
    <row r="187" spans="1:23" s="23" customFormat="1" ht="44.25" customHeight="1" x14ac:dyDescent="0.25">
      <c r="A187" s="25">
        <v>166</v>
      </c>
      <c r="B187" s="34" t="s">
        <v>265</v>
      </c>
      <c r="C187" s="25" t="s">
        <v>90</v>
      </c>
      <c r="D187" s="27" t="s">
        <v>266</v>
      </c>
      <c r="E187" s="27" t="s">
        <v>39</v>
      </c>
      <c r="F187" s="25" t="s">
        <v>44</v>
      </c>
      <c r="G187" s="28">
        <v>5</v>
      </c>
      <c r="H187" s="28">
        <v>8</v>
      </c>
      <c r="I187" s="29">
        <v>6045.5</v>
      </c>
      <c r="J187" s="29">
        <v>6120.9</v>
      </c>
      <c r="K187" s="29">
        <v>6120.9</v>
      </c>
      <c r="L187" s="30">
        <v>248</v>
      </c>
      <c r="M187" s="31">
        <f t="shared" si="22"/>
        <v>6686341.6799999997</v>
      </c>
      <c r="N187" s="29">
        <v>0</v>
      </c>
      <c r="O187" s="29">
        <v>0</v>
      </c>
      <c r="P187" s="29">
        <v>0</v>
      </c>
      <c r="Q187" s="32">
        <f>'Таблица 3 '!C177</f>
        <v>6686341.6799999997</v>
      </c>
      <c r="R187" s="29">
        <f t="shared" si="23"/>
        <v>6686341.6799999997</v>
      </c>
      <c r="S187" s="29">
        <v>0</v>
      </c>
      <c r="T187" s="29">
        <f t="shared" si="20"/>
        <v>1092.3788462481009</v>
      </c>
      <c r="U187" s="29">
        <f t="shared" si="21"/>
        <v>1092.3788462481009</v>
      </c>
      <c r="V187" s="33" t="s">
        <v>45</v>
      </c>
    </row>
    <row r="188" spans="1:23" s="23" customFormat="1" ht="44.25" customHeight="1" x14ac:dyDescent="0.25">
      <c r="A188" s="25">
        <v>167</v>
      </c>
      <c r="B188" s="26" t="s">
        <v>267</v>
      </c>
      <c r="C188" s="25" t="s">
        <v>43</v>
      </c>
      <c r="D188" s="25">
        <v>1945</v>
      </c>
      <c r="E188" s="27" t="s">
        <v>50</v>
      </c>
      <c r="F188" s="25" t="s">
        <v>44</v>
      </c>
      <c r="G188" s="28">
        <v>4</v>
      </c>
      <c r="H188" s="28">
        <v>3</v>
      </c>
      <c r="I188" s="29">
        <v>3103.1</v>
      </c>
      <c r="J188" s="29">
        <v>2707.9</v>
      </c>
      <c r="K188" s="29">
        <v>2075.5</v>
      </c>
      <c r="L188" s="30">
        <v>62</v>
      </c>
      <c r="M188" s="31">
        <f t="shared" si="22"/>
        <v>200414.46</v>
      </c>
      <c r="N188" s="29">
        <v>0</v>
      </c>
      <c r="O188" s="29">
        <v>0</v>
      </c>
      <c r="P188" s="29">
        <v>0</v>
      </c>
      <c r="Q188" s="32">
        <f>'Таблица 3 '!C178</f>
        <v>200414.46</v>
      </c>
      <c r="R188" s="29">
        <f t="shared" si="23"/>
        <v>200414.46</v>
      </c>
      <c r="S188" s="29">
        <v>0</v>
      </c>
      <c r="T188" s="29">
        <f t="shared" si="20"/>
        <v>74.011026995088443</v>
      </c>
      <c r="U188" s="29">
        <f t="shared" si="21"/>
        <v>74.011026995088443</v>
      </c>
      <c r="V188" s="33" t="s">
        <v>45</v>
      </c>
      <c r="W188" s="44"/>
    </row>
    <row r="189" spans="1:23" s="23" customFormat="1" ht="44.25" customHeight="1" x14ac:dyDescent="0.25">
      <c r="A189" s="25">
        <v>168</v>
      </c>
      <c r="B189" s="26" t="s">
        <v>268</v>
      </c>
      <c r="C189" s="25" t="s">
        <v>43</v>
      </c>
      <c r="D189" s="27" t="s">
        <v>269</v>
      </c>
      <c r="E189" s="27" t="s">
        <v>39</v>
      </c>
      <c r="F189" s="25" t="s">
        <v>48</v>
      </c>
      <c r="G189" s="28">
        <v>9</v>
      </c>
      <c r="H189" s="28">
        <v>2</v>
      </c>
      <c r="I189" s="29">
        <v>4428.5</v>
      </c>
      <c r="J189" s="29">
        <v>4318.1000000000004</v>
      </c>
      <c r="K189" s="29">
        <v>4029.4</v>
      </c>
      <c r="L189" s="30">
        <v>154</v>
      </c>
      <c r="M189" s="31">
        <f t="shared" si="22"/>
        <v>6231042.2599999998</v>
      </c>
      <c r="N189" s="29">
        <v>0</v>
      </c>
      <c r="O189" s="29">
        <v>0</v>
      </c>
      <c r="P189" s="29">
        <v>0</v>
      </c>
      <c r="Q189" s="32">
        <f>'Таблица 3 '!C179</f>
        <v>6231042.2599999998</v>
      </c>
      <c r="R189" s="29">
        <f t="shared" si="23"/>
        <v>6231042.2599999998</v>
      </c>
      <c r="S189" s="29">
        <v>0</v>
      </c>
      <c r="T189" s="29">
        <f t="shared" si="20"/>
        <v>1443.0055487367126</v>
      </c>
      <c r="U189" s="29">
        <f t="shared" si="21"/>
        <v>1443.0055487367126</v>
      </c>
      <c r="V189" s="33" t="s">
        <v>45</v>
      </c>
    </row>
    <row r="190" spans="1:23" s="23" customFormat="1" ht="44.25" customHeight="1" x14ac:dyDescent="0.25">
      <c r="A190" s="45">
        <v>169</v>
      </c>
      <c r="B190" s="46" t="s">
        <v>270</v>
      </c>
      <c r="C190" s="47" t="s">
        <v>90</v>
      </c>
      <c r="D190" s="45">
        <v>1970</v>
      </c>
      <c r="E190" s="48" t="s">
        <v>39</v>
      </c>
      <c r="F190" s="45" t="s">
        <v>48</v>
      </c>
      <c r="G190" s="49">
        <v>5</v>
      </c>
      <c r="H190" s="50">
        <v>4</v>
      </c>
      <c r="I190" s="51">
        <v>3563.9</v>
      </c>
      <c r="J190" s="52">
        <v>3270.6</v>
      </c>
      <c r="K190" s="51">
        <v>3270.6</v>
      </c>
      <c r="L190" s="53">
        <v>143</v>
      </c>
      <c r="M190" s="54">
        <f t="shared" si="22"/>
        <v>3995273.98</v>
      </c>
      <c r="N190" s="51">
        <v>0</v>
      </c>
      <c r="O190" s="52">
        <v>0</v>
      </c>
      <c r="P190" s="51">
        <v>0</v>
      </c>
      <c r="Q190" s="55">
        <f>'Таблица 3 '!C180</f>
        <v>3995273.98</v>
      </c>
      <c r="R190" s="51">
        <f t="shared" si="23"/>
        <v>3995273.98</v>
      </c>
      <c r="S190" s="52">
        <v>0</v>
      </c>
      <c r="T190" s="51">
        <f t="shared" si="20"/>
        <v>1221.5721824741638</v>
      </c>
      <c r="U190" s="52">
        <f t="shared" si="21"/>
        <v>1221.5721824741638</v>
      </c>
      <c r="V190" s="56" t="s">
        <v>45</v>
      </c>
      <c r="W190" s="57"/>
    </row>
    <row r="191" spans="1:23" s="23" customFormat="1" ht="44.25" customHeight="1" x14ac:dyDescent="0.25">
      <c r="A191" s="25">
        <v>169</v>
      </c>
      <c r="B191" s="26" t="s">
        <v>271</v>
      </c>
      <c r="C191" s="25" t="s">
        <v>90</v>
      </c>
      <c r="D191" s="25">
        <v>1978</v>
      </c>
      <c r="E191" s="27" t="s">
        <v>39</v>
      </c>
      <c r="F191" s="25" t="s">
        <v>48</v>
      </c>
      <c r="G191" s="28">
        <v>5</v>
      </c>
      <c r="H191" s="28">
        <v>4</v>
      </c>
      <c r="I191" s="29">
        <v>4063.1</v>
      </c>
      <c r="J191" s="29">
        <v>3909</v>
      </c>
      <c r="K191" s="29">
        <v>3504.5</v>
      </c>
      <c r="L191" s="30">
        <v>181</v>
      </c>
      <c r="M191" s="31">
        <f t="shared" si="22"/>
        <v>286474.39</v>
      </c>
      <c r="N191" s="29">
        <v>0</v>
      </c>
      <c r="O191" s="29">
        <v>0</v>
      </c>
      <c r="P191" s="29">
        <v>0</v>
      </c>
      <c r="Q191" s="32">
        <f>'Таблица 3 '!C181</f>
        <v>286474.39</v>
      </c>
      <c r="R191" s="29">
        <f t="shared" si="23"/>
        <v>286474.39</v>
      </c>
      <c r="S191" s="29">
        <v>0</v>
      </c>
      <c r="T191" s="29">
        <f t="shared" si="20"/>
        <v>73.285850601176776</v>
      </c>
      <c r="U191" s="29">
        <f t="shared" si="21"/>
        <v>73.285850601176776</v>
      </c>
      <c r="V191" s="33" t="s">
        <v>45</v>
      </c>
    </row>
    <row r="192" spans="1:23" s="23" customFormat="1" ht="44.25" customHeight="1" x14ac:dyDescent="0.25">
      <c r="A192" s="25">
        <v>170</v>
      </c>
      <c r="B192" s="26" t="s">
        <v>272</v>
      </c>
      <c r="C192" s="25" t="s">
        <v>85</v>
      </c>
      <c r="D192" s="25">
        <v>1992</v>
      </c>
      <c r="E192" s="27" t="s">
        <v>39</v>
      </c>
      <c r="F192" s="25" t="s">
        <v>48</v>
      </c>
      <c r="G192" s="28">
        <v>10</v>
      </c>
      <c r="H192" s="28">
        <v>6</v>
      </c>
      <c r="I192" s="29">
        <v>13083</v>
      </c>
      <c r="J192" s="29">
        <v>12944.7</v>
      </c>
      <c r="K192" s="29">
        <v>12300.9</v>
      </c>
      <c r="L192" s="30">
        <v>427</v>
      </c>
      <c r="M192" s="31">
        <f t="shared" si="22"/>
        <v>7099353.2000000002</v>
      </c>
      <c r="N192" s="29">
        <v>0</v>
      </c>
      <c r="O192" s="29">
        <v>0</v>
      </c>
      <c r="P192" s="29">
        <v>0</v>
      </c>
      <c r="Q192" s="32">
        <f>'Таблица 3 '!C182</f>
        <v>7099353.2000000002</v>
      </c>
      <c r="R192" s="29">
        <f t="shared" si="23"/>
        <v>7099353.2000000002</v>
      </c>
      <c r="S192" s="29">
        <v>0</v>
      </c>
      <c r="T192" s="29">
        <f t="shared" si="20"/>
        <v>548.4370591825226</v>
      </c>
      <c r="U192" s="29">
        <f t="shared" si="21"/>
        <v>548.4370591825226</v>
      </c>
      <c r="V192" s="33" t="s">
        <v>45</v>
      </c>
    </row>
    <row r="193" spans="1:23" s="23" customFormat="1" ht="44.25" customHeight="1" x14ac:dyDescent="0.25">
      <c r="A193" s="25">
        <v>171</v>
      </c>
      <c r="B193" s="26" t="s">
        <v>273</v>
      </c>
      <c r="C193" s="25" t="s">
        <v>43</v>
      </c>
      <c r="D193" s="25">
        <v>1976</v>
      </c>
      <c r="E193" s="27" t="s">
        <v>60</v>
      </c>
      <c r="F193" s="25" t="s">
        <v>44</v>
      </c>
      <c r="G193" s="28">
        <v>9</v>
      </c>
      <c r="H193" s="28">
        <v>2</v>
      </c>
      <c r="I193" s="29">
        <v>4332.1000000000004</v>
      </c>
      <c r="J193" s="29">
        <v>3442.01</v>
      </c>
      <c r="K193" s="29">
        <v>3332.71</v>
      </c>
      <c r="L193" s="30">
        <v>92</v>
      </c>
      <c r="M193" s="31">
        <f t="shared" si="22"/>
        <v>305150.23</v>
      </c>
      <c r="N193" s="29">
        <v>0</v>
      </c>
      <c r="O193" s="29">
        <v>0</v>
      </c>
      <c r="P193" s="29">
        <v>0</v>
      </c>
      <c r="Q193" s="32">
        <f>'Таблица 3 '!C183</f>
        <v>305150.23</v>
      </c>
      <c r="R193" s="29">
        <f t="shared" si="23"/>
        <v>305150.23</v>
      </c>
      <c r="S193" s="29">
        <v>0</v>
      </c>
      <c r="T193" s="29">
        <f t="shared" si="20"/>
        <v>88.654661084656922</v>
      </c>
      <c r="U193" s="29">
        <f t="shared" si="21"/>
        <v>88.654661084656922</v>
      </c>
      <c r="V193" s="33" t="s">
        <v>45</v>
      </c>
    </row>
    <row r="194" spans="1:23" s="23" customFormat="1" ht="44.25" customHeight="1" x14ac:dyDescent="0.25">
      <c r="A194" s="25">
        <v>172</v>
      </c>
      <c r="B194" s="26" t="s">
        <v>274</v>
      </c>
      <c r="C194" s="25" t="s">
        <v>43</v>
      </c>
      <c r="D194" s="25">
        <v>1963</v>
      </c>
      <c r="E194" s="27" t="s">
        <v>39</v>
      </c>
      <c r="F194" s="25" t="s">
        <v>44</v>
      </c>
      <c r="G194" s="28">
        <v>4</v>
      </c>
      <c r="H194" s="28">
        <v>4</v>
      </c>
      <c r="I194" s="29">
        <v>1796</v>
      </c>
      <c r="J194" s="29">
        <v>1759.6</v>
      </c>
      <c r="K194" s="29">
        <v>1729.8</v>
      </c>
      <c r="L194" s="30">
        <v>60</v>
      </c>
      <c r="M194" s="31">
        <f t="shared" si="22"/>
        <v>369205.76000000001</v>
      </c>
      <c r="N194" s="29">
        <v>0</v>
      </c>
      <c r="O194" s="29">
        <v>0</v>
      </c>
      <c r="P194" s="29">
        <v>0</v>
      </c>
      <c r="Q194" s="32">
        <f>'Таблица 3 '!C184</f>
        <v>369205.76000000001</v>
      </c>
      <c r="R194" s="29">
        <f t="shared" si="23"/>
        <v>369205.76000000001</v>
      </c>
      <c r="S194" s="29">
        <v>0</v>
      </c>
      <c r="T194" s="29">
        <f t="shared" si="20"/>
        <v>209.82368720163674</v>
      </c>
      <c r="U194" s="29">
        <f t="shared" si="21"/>
        <v>209.82368720163674</v>
      </c>
      <c r="V194" s="33" t="s">
        <v>45</v>
      </c>
    </row>
    <row r="195" spans="1:23" s="23" customFormat="1" ht="44.25" customHeight="1" x14ac:dyDescent="0.25">
      <c r="A195" s="25">
        <v>173</v>
      </c>
      <c r="B195" s="26" t="s">
        <v>275</v>
      </c>
      <c r="C195" s="25" t="s">
        <v>43</v>
      </c>
      <c r="D195" s="25">
        <v>1957</v>
      </c>
      <c r="E195" s="27" t="s">
        <v>39</v>
      </c>
      <c r="F195" s="25" t="s">
        <v>44</v>
      </c>
      <c r="G195" s="28">
        <v>2</v>
      </c>
      <c r="H195" s="28">
        <v>2</v>
      </c>
      <c r="I195" s="29">
        <v>625.20000000000005</v>
      </c>
      <c r="J195" s="29">
        <v>581.5</v>
      </c>
      <c r="K195" s="29">
        <v>391.2</v>
      </c>
      <c r="L195" s="30">
        <v>31</v>
      </c>
      <c r="M195" s="31">
        <f t="shared" si="22"/>
        <v>197832.14</v>
      </c>
      <c r="N195" s="29">
        <v>0</v>
      </c>
      <c r="O195" s="29">
        <v>0</v>
      </c>
      <c r="P195" s="29">
        <v>0</v>
      </c>
      <c r="Q195" s="32">
        <f>'Таблица 3 '!C185</f>
        <v>197832.14</v>
      </c>
      <c r="R195" s="29">
        <f t="shared" si="23"/>
        <v>197832.14</v>
      </c>
      <c r="S195" s="29">
        <v>0</v>
      </c>
      <c r="T195" s="29">
        <f t="shared" si="20"/>
        <v>340.21004299226144</v>
      </c>
      <c r="U195" s="29">
        <f t="shared" si="21"/>
        <v>340.21004299226144</v>
      </c>
      <c r="V195" s="33" t="s">
        <v>45</v>
      </c>
    </row>
    <row r="196" spans="1:23" s="23" customFormat="1" ht="44.25" customHeight="1" x14ac:dyDescent="0.25">
      <c r="A196" s="25">
        <v>174</v>
      </c>
      <c r="B196" s="26" t="s">
        <v>276</v>
      </c>
      <c r="C196" s="25" t="s">
        <v>43</v>
      </c>
      <c r="D196" s="25">
        <v>1960</v>
      </c>
      <c r="E196" s="27" t="s">
        <v>39</v>
      </c>
      <c r="F196" s="25" t="s">
        <v>44</v>
      </c>
      <c r="G196" s="28">
        <v>2</v>
      </c>
      <c r="H196" s="28">
        <v>1</v>
      </c>
      <c r="I196" s="29">
        <v>291.83999999999997</v>
      </c>
      <c r="J196" s="29">
        <v>268.60000000000002</v>
      </c>
      <c r="K196" s="29">
        <v>268.8</v>
      </c>
      <c r="L196" s="30">
        <v>13</v>
      </c>
      <c r="M196" s="31">
        <f t="shared" si="22"/>
        <v>899393.77999999991</v>
      </c>
      <c r="N196" s="29">
        <v>0</v>
      </c>
      <c r="O196" s="29">
        <v>0</v>
      </c>
      <c r="P196" s="29">
        <v>0</v>
      </c>
      <c r="Q196" s="32">
        <f>'Таблица 3 '!C186</f>
        <v>899393.77999999991</v>
      </c>
      <c r="R196" s="29">
        <f t="shared" si="23"/>
        <v>899393.77999999991</v>
      </c>
      <c r="S196" s="29">
        <v>0</v>
      </c>
      <c r="T196" s="29">
        <f t="shared" si="20"/>
        <v>3348.4504095309003</v>
      </c>
      <c r="U196" s="29">
        <f t="shared" si="21"/>
        <v>3348.4504095309003</v>
      </c>
      <c r="V196" s="33" t="s">
        <v>45</v>
      </c>
    </row>
    <row r="197" spans="1:23" s="23" customFormat="1" ht="44.25" customHeight="1" x14ac:dyDescent="0.25">
      <c r="A197" s="25">
        <v>175</v>
      </c>
      <c r="B197" s="26" t="s">
        <v>277</v>
      </c>
      <c r="C197" s="25" t="s">
        <v>43</v>
      </c>
      <c r="D197" s="25">
        <v>1973</v>
      </c>
      <c r="E197" s="27" t="s">
        <v>57</v>
      </c>
      <c r="F197" s="25" t="s">
        <v>48</v>
      </c>
      <c r="G197" s="28">
        <v>5</v>
      </c>
      <c r="H197" s="28">
        <v>5</v>
      </c>
      <c r="I197" s="29">
        <v>4485.3999999999996</v>
      </c>
      <c r="J197" s="29">
        <v>4448.7</v>
      </c>
      <c r="K197" s="29">
        <v>4253.6000000000004</v>
      </c>
      <c r="L197" s="30">
        <v>199</v>
      </c>
      <c r="M197" s="31">
        <f t="shared" si="22"/>
        <v>2920463.1300000004</v>
      </c>
      <c r="N197" s="29">
        <v>0</v>
      </c>
      <c r="O197" s="29">
        <v>0</v>
      </c>
      <c r="P197" s="29">
        <v>0</v>
      </c>
      <c r="Q197" s="32">
        <f>'Таблица 3 '!C187</f>
        <v>2920463.1300000004</v>
      </c>
      <c r="R197" s="29">
        <f t="shared" si="23"/>
        <v>2920463.1300000004</v>
      </c>
      <c r="S197" s="29">
        <v>0</v>
      </c>
      <c r="T197" s="29">
        <f t="shared" si="20"/>
        <v>656.47562883539024</v>
      </c>
      <c r="U197" s="29">
        <f t="shared" si="21"/>
        <v>656.47562883539024</v>
      </c>
      <c r="V197" s="33" t="s">
        <v>45</v>
      </c>
    </row>
    <row r="198" spans="1:23" s="23" customFormat="1" ht="44.25" customHeight="1" x14ac:dyDescent="0.25">
      <c r="A198" s="25">
        <v>176</v>
      </c>
      <c r="B198" s="26" t="s">
        <v>278</v>
      </c>
      <c r="C198" s="25" t="s">
        <v>90</v>
      </c>
      <c r="D198" s="27" t="s">
        <v>63</v>
      </c>
      <c r="E198" s="27" t="s">
        <v>39</v>
      </c>
      <c r="F198" s="25" t="s">
        <v>44</v>
      </c>
      <c r="G198" s="28">
        <v>10</v>
      </c>
      <c r="H198" s="28">
        <v>6</v>
      </c>
      <c r="I198" s="29">
        <v>14491.5</v>
      </c>
      <c r="J198" s="29">
        <v>11593.2</v>
      </c>
      <c r="K198" s="29">
        <v>11593.2</v>
      </c>
      <c r="L198" s="30">
        <v>245</v>
      </c>
      <c r="M198" s="31">
        <f t="shared" si="22"/>
        <v>2970493.5</v>
      </c>
      <c r="N198" s="29">
        <v>0</v>
      </c>
      <c r="O198" s="29">
        <v>0</v>
      </c>
      <c r="P198" s="29">
        <v>0</v>
      </c>
      <c r="Q198" s="32">
        <f>'Таблица 3 '!C188</f>
        <v>2970493.5</v>
      </c>
      <c r="R198" s="29">
        <f t="shared" si="23"/>
        <v>2970493.5</v>
      </c>
      <c r="S198" s="29">
        <v>0</v>
      </c>
      <c r="T198" s="29">
        <f t="shared" si="20"/>
        <v>256.22722803022458</v>
      </c>
      <c r="U198" s="29">
        <f t="shared" si="21"/>
        <v>256.22722803022458</v>
      </c>
      <c r="V198" s="33" t="s">
        <v>45</v>
      </c>
    </row>
    <row r="199" spans="1:23" s="23" customFormat="1" ht="44.25" customHeight="1" x14ac:dyDescent="0.25">
      <c r="A199" s="25">
        <v>177</v>
      </c>
      <c r="B199" s="26" t="s">
        <v>279</v>
      </c>
      <c r="C199" s="25" t="s">
        <v>43</v>
      </c>
      <c r="D199" s="27">
        <v>1999</v>
      </c>
      <c r="E199" s="27" t="s">
        <v>39</v>
      </c>
      <c r="F199" s="25" t="s">
        <v>44</v>
      </c>
      <c r="G199" s="28">
        <v>10</v>
      </c>
      <c r="H199" s="28">
        <v>10</v>
      </c>
      <c r="I199" s="29">
        <v>24768.5</v>
      </c>
      <c r="J199" s="29">
        <v>24763.1</v>
      </c>
      <c r="K199" s="29">
        <v>23772.2</v>
      </c>
      <c r="L199" s="30">
        <v>199</v>
      </c>
      <c r="M199" s="31">
        <f t="shared" si="22"/>
        <v>19837780.93</v>
      </c>
      <c r="N199" s="29">
        <v>0</v>
      </c>
      <c r="O199" s="29">
        <v>0</v>
      </c>
      <c r="P199" s="29">
        <v>0</v>
      </c>
      <c r="Q199" s="32">
        <f>'Таблица 3 '!C189</f>
        <v>19837780.93</v>
      </c>
      <c r="R199" s="29">
        <f t="shared" si="23"/>
        <v>19837780.93</v>
      </c>
      <c r="S199" s="29">
        <v>0</v>
      </c>
      <c r="T199" s="29">
        <f t="shared" si="20"/>
        <v>801.10248434162122</v>
      </c>
      <c r="U199" s="29">
        <f t="shared" si="21"/>
        <v>801.10248434162122</v>
      </c>
      <c r="V199" s="33" t="s">
        <v>45</v>
      </c>
    </row>
    <row r="200" spans="1:23" s="23" customFormat="1" ht="44.25" customHeight="1" x14ac:dyDescent="0.25">
      <c r="A200" s="25">
        <v>178</v>
      </c>
      <c r="B200" s="26" t="s">
        <v>280</v>
      </c>
      <c r="C200" s="25" t="s">
        <v>43</v>
      </c>
      <c r="D200" s="25">
        <v>1988</v>
      </c>
      <c r="E200" s="27" t="s">
        <v>60</v>
      </c>
      <c r="F200" s="25" t="s">
        <v>44</v>
      </c>
      <c r="G200" s="28">
        <v>5</v>
      </c>
      <c r="H200" s="28">
        <v>1</v>
      </c>
      <c r="I200" s="29">
        <v>3584.8</v>
      </c>
      <c r="J200" s="29">
        <v>2034.8</v>
      </c>
      <c r="K200" s="29">
        <v>2065.1</v>
      </c>
      <c r="L200" s="30">
        <v>72</v>
      </c>
      <c r="M200" s="31">
        <f t="shared" si="22"/>
        <v>278214.34999999998</v>
      </c>
      <c r="N200" s="29">
        <v>0</v>
      </c>
      <c r="O200" s="29">
        <v>0</v>
      </c>
      <c r="P200" s="29">
        <v>0</v>
      </c>
      <c r="Q200" s="32">
        <f>'Таблица 3 '!C190</f>
        <v>278214.34999999998</v>
      </c>
      <c r="R200" s="29">
        <f t="shared" si="23"/>
        <v>278214.34999999998</v>
      </c>
      <c r="S200" s="29">
        <v>0</v>
      </c>
      <c r="T200" s="29">
        <f t="shared" si="20"/>
        <v>136.72810595635934</v>
      </c>
      <c r="U200" s="29">
        <f t="shared" si="21"/>
        <v>136.72810595635934</v>
      </c>
      <c r="V200" s="33" t="s">
        <v>45</v>
      </c>
    </row>
    <row r="201" spans="1:23" s="23" customFormat="1" ht="44.25" customHeight="1" x14ac:dyDescent="0.25">
      <c r="A201" s="25">
        <v>179</v>
      </c>
      <c r="B201" s="26" t="s">
        <v>281</v>
      </c>
      <c r="C201" s="25" t="s">
        <v>43</v>
      </c>
      <c r="D201" s="25">
        <v>1973</v>
      </c>
      <c r="E201" s="27" t="s">
        <v>39</v>
      </c>
      <c r="F201" s="25" t="s">
        <v>48</v>
      </c>
      <c r="G201" s="28">
        <v>5</v>
      </c>
      <c r="H201" s="28">
        <v>5</v>
      </c>
      <c r="I201" s="29">
        <v>6004.7</v>
      </c>
      <c r="J201" s="29">
        <v>5100.76</v>
      </c>
      <c r="K201" s="29">
        <v>4498</v>
      </c>
      <c r="L201" s="30">
        <v>181</v>
      </c>
      <c r="M201" s="31">
        <f t="shared" si="22"/>
        <v>543742.03</v>
      </c>
      <c r="N201" s="29">
        <v>0</v>
      </c>
      <c r="O201" s="29">
        <v>0</v>
      </c>
      <c r="P201" s="29">
        <v>0</v>
      </c>
      <c r="Q201" s="32">
        <f>'Таблица 3 '!C191</f>
        <v>543742.03</v>
      </c>
      <c r="R201" s="29">
        <f t="shared" si="23"/>
        <v>543742.03</v>
      </c>
      <c r="S201" s="29">
        <v>0</v>
      </c>
      <c r="T201" s="29">
        <f t="shared" si="20"/>
        <v>106.60019879390522</v>
      </c>
      <c r="U201" s="29">
        <f t="shared" si="21"/>
        <v>106.60019879390522</v>
      </c>
      <c r="V201" s="33" t="s">
        <v>45</v>
      </c>
    </row>
    <row r="202" spans="1:23" s="23" customFormat="1" ht="44.25" customHeight="1" x14ac:dyDescent="0.25">
      <c r="A202" s="25">
        <v>180</v>
      </c>
      <c r="B202" s="26" t="s">
        <v>282</v>
      </c>
      <c r="C202" s="25" t="s">
        <v>43</v>
      </c>
      <c r="D202" s="25">
        <v>1965</v>
      </c>
      <c r="E202" s="27" t="s">
        <v>50</v>
      </c>
      <c r="F202" s="25" t="s">
        <v>77</v>
      </c>
      <c r="G202" s="28">
        <v>5</v>
      </c>
      <c r="H202" s="28">
        <v>3</v>
      </c>
      <c r="I202" s="32">
        <v>2515.1999999999998</v>
      </c>
      <c r="J202" s="32">
        <v>2498.1</v>
      </c>
      <c r="K202" s="32">
        <v>2236.9</v>
      </c>
      <c r="L202" s="35">
        <v>95</v>
      </c>
      <c r="M202" s="31">
        <f t="shared" si="22"/>
        <v>1588373.56</v>
      </c>
      <c r="N202" s="29">
        <v>0</v>
      </c>
      <c r="O202" s="29">
        <v>0</v>
      </c>
      <c r="P202" s="29">
        <v>0</v>
      </c>
      <c r="Q202" s="32">
        <f>'Таблица 3 '!C192</f>
        <v>1588373.56</v>
      </c>
      <c r="R202" s="29">
        <f t="shared" si="23"/>
        <v>1588373.56</v>
      </c>
      <c r="S202" s="32">
        <v>0</v>
      </c>
      <c r="T202" s="29">
        <f t="shared" si="20"/>
        <v>635.8326568191826</v>
      </c>
      <c r="U202" s="29">
        <f t="shared" si="21"/>
        <v>635.8326568191826</v>
      </c>
      <c r="V202" s="33" t="s">
        <v>45</v>
      </c>
    </row>
    <row r="203" spans="1:23" s="23" customFormat="1" ht="44.25" customHeight="1" x14ac:dyDescent="0.25">
      <c r="A203" s="25">
        <v>181</v>
      </c>
      <c r="B203" s="26" t="s">
        <v>283</v>
      </c>
      <c r="C203" s="25" t="s">
        <v>90</v>
      </c>
      <c r="D203" s="25">
        <v>1985</v>
      </c>
      <c r="E203" s="27" t="s">
        <v>39</v>
      </c>
      <c r="F203" s="25" t="s">
        <v>77</v>
      </c>
      <c r="G203" s="28">
        <v>5</v>
      </c>
      <c r="H203" s="28">
        <v>4</v>
      </c>
      <c r="I203" s="32">
        <v>3943.3</v>
      </c>
      <c r="J203" s="32">
        <v>2813.2</v>
      </c>
      <c r="K203" s="32">
        <v>2555.8000000000002</v>
      </c>
      <c r="L203" s="35">
        <v>140</v>
      </c>
      <c r="M203" s="31">
        <f t="shared" si="22"/>
        <v>2915106.04</v>
      </c>
      <c r="N203" s="29">
        <v>0</v>
      </c>
      <c r="O203" s="29">
        <v>0</v>
      </c>
      <c r="P203" s="29">
        <v>0</v>
      </c>
      <c r="Q203" s="32">
        <f>'Таблица 3 '!C193</f>
        <v>2915106.04</v>
      </c>
      <c r="R203" s="29">
        <f t="shared" si="23"/>
        <v>2915106.04</v>
      </c>
      <c r="S203" s="32">
        <v>0</v>
      </c>
      <c r="T203" s="29">
        <f t="shared" si="20"/>
        <v>1036.2242428551117</v>
      </c>
      <c r="U203" s="29">
        <f t="shared" si="21"/>
        <v>1036.2242428551117</v>
      </c>
      <c r="V203" s="33" t="s">
        <v>45</v>
      </c>
    </row>
    <row r="204" spans="1:23" s="23" customFormat="1" ht="44.25" customHeight="1" x14ac:dyDescent="0.25">
      <c r="A204" s="25">
        <v>182</v>
      </c>
      <c r="B204" s="26" t="s">
        <v>284</v>
      </c>
      <c r="C204" s="25" t="s">
        <v>43</v>
      </c>
      <c r="D204" s="25">
        <v>1990</v>
      </c>
      <c r="E204" s="27" t="s">
        <v>39</v>
      </c>
      <c r="F204" s="25" t="s">
        <v>44</v>
      </c>
      <c r="G204" s="28">
        <v>5</v>
      </c>
      <c r="H204" s="28">
        <v>1</v>
      </c>
      <c r="I204" s="29">
        <v>5603.4</v>
      </c>
      <c r="J204" s="29">
        <v>3662.7</v>
      </c>
      <c r="K204" s="29">
        <v>2385.6999999999998</v>
      </c>
      <c r="L204" s="30">
        <v>240</v>
      </c>
      <c r="M204" s="31">
        <f t="shared" si="22"/>
        <v>273196.98</v>
      </c>
      <c r="N204" s="29">
        <v>0</v>
      </c>
      <c r="O204" s="29">
        <v>0</v>
      </c>
      <c r="P204" s="29">
        <v>0</v>
      </c>
      <c r="Q204" s="32">
        <f>'Таблица 3 '!C194</f>
        <v>273196.98</v>
      </c>
      <c r="R204" s="29">
        <f t="shared" si="23"/>
        <v>273196.98</v>
      </c>
      <c r="S204" s="29">
        <v>0</v>
      </c>
      <c r="T204" s="29">
        <f t="shared" si="20"/>
        <v>74.588958964698179</v>
      </c>
      <c r="U204" s="29">
        <f t="shared" si="21"/>
        <v>74.588958964698179</v>
      </c>
      <c r="V204" s="33" t="s">
        <v>45</v>
      </c>
      <c r="W204" s="44"/>
    </row>
    <row r="205" spans="1:23" s="23" customFormat="1" ht="44.25" customHeight="1" x14ac:dyDescent="0.25">
      <c r="A205" s="25">
        <v>183</v>
      </c>
      <c r="B205" s="26" t="s">
        <v>285</v>
      </c>
      <c r="C205" s="25" t="s">
        <v>43</v>
      </c>
      <c r="D205" s="25">
        <v>1993</v>
      </c>
      <c r="E205" s="27" t="s">
        <v>50</v>
      </c>
      <c r="F205" s="25" t="s">
        <v>48</v>
      </c>
      <c r="G205" s="28">
        <v>9</v>
      </c>
      <c r="H205" s="28">
        <v>1</v>
      </c>
      <c r="I205" s="29">
        <v>3810.71</v>
      </c>
      <c r="J205" s="29">
        <v>3608.9</v>
      </c>
      <c r="K205" s="29">
        <v>3441.6</v>
      </c>
      <c r="L205" s="30">
        <v>165</v>
      </c>
      <c r="M205" s="31">
        <f t="shared" si="22"/>
        <v>216160.24</v>
      </c>
      <c r="N205" s="29">
        <v>0</v>
      </c>
      <c r="O205" s="29">
        <v>0</v>
      </c>
      <c r="P205" s="29">
        <v>0</v>
      </c>
      <c r="Q205" s="32">
        <f>'Таблица 3 '!C195</f>
        <v>216160.24</v>
      </c>
      <c r="R205" s="29">
        <f t="shared" si="23"/>
        <v>216160.24</v>
      </c>
      <c r="S205" s="29">
        <v>0</v>
      </c>
      <c r="T205" s="29">
        <f t="shared" si="20"/>
        <v>59.896433816398343</v>
      </c>
      <c r="U205" s="29">
        <f t="shared" si="21"/>
        <v>59.896433816398343</v>
      </c>
      <c r="V205" s="33" t="s">
        <v>45</v>
      </c>
    </row>
    <row r="206" spans="1:23" s="23" customFormat="1" ht="44.25" customHeight="1" x14ac:dyDescent="0.25">
      <c r="A206" s="25">
        <v>184</v>
      </c>
      <c r="B206" s="37" t="s">
        <v>286</v>
      </c>
      <c r="C206" s="25" t="s">
        <v>43</v>
      </c>
      <c r="D206" s="27" t="s">
        <v>287</v>
      </c>
      <c r="E206" s="27">
        <v>2024</v>
      </c>
      <c r="F206" s="25" t="s">
        <v>48</v>
      </c>
      <c r="G206" s="28">
        <v>9</v>
      </c>
      <c r="H206" s="28">
        <v>1</v>
      </c>
      <c r="I206" s="29">
        <v>2556.9</v>
      </c>
      <c r="J206" s="29">
        <v>2555.1</v>
      </c>
      <c r="K206" s="29">
        <v>2381.5</v>
      </c>
      <c r="L206" s="30">
        <v>152</v>
      </c>
      <c r="M206" s="31">
        <f t="shared" si="22"/>
        <v>3163919.3600000003</v>
      </c>
      <c r="N206" s="29">
        <v>0</v>
      </c>
      <c r="O206" s="29">
        <v>0</v>
      </c>
      <c r="P206" s="29">
        <v>0</v>
      </c>
      <c r="Q206" s="32">
        <f>'Таблица 3 '!C196</f>
        <v>3163919.3600000003</v>
      </c>
      <c r="R206" s="29">
        <f t="shared" si="23"/>
        <v>3163919.3600000003</v>
      </c>
      <c r="S206" s="29">
        <v>0</v>
      </c>
      <c r="T206" s="29">
        <f t="shared" si="20"/>
        <v>1238.2761379202382</v>
      </c>
      <c r="U206" s="29">
        <f t="shared" si="21"/>
        <v>1238.2761379202382</v>
      </c>
      <c r="V206" s="33" t="s">
        <v>45</v>
      </c>
    </row>
    <row r="207" spans="1:23" s="23" customFormat="1" ht="44.25" customHeight="1" x14ac:dyDescent="0.25">
      <c r="A207" s="25">
        <v>185</v>
      </c>
      <c r="B207" s="26" t="s">
        <v>288</v>
      </c>
      <c r="C207" s="25" t="s">
        <v>43</v>
      </c>
      <c r="D207" s="25">
        <v>1976</v>
      </c>
      <c r="E207" s="27" t="s">
        <v>39</v>
      </c>
      <c r="F207" s="25" t="s">
        <v>44</v>
      </c>
      <c r="G207" s="28">
        <v>5</v>
      </c>
      <c r="H207" s="28">
        <v>4</v>
      </c>
      <c r="I207" s="29">
        <v>4484</v>
      </c>
      <c r="J207" s="29">
        <v>4401.8999999999996</v>
      </c>
      <c r="K207" s="29">
        <v>3843.8</v>
      </c>
      <c r="L207" s="30">
        <v>166</v>
      </c>
      <c r="M207" s="31">
        <f t="shared" si="22"/>
        <v>15394957.140000001</v>
      </c>
      <c r="N207" s="29">
        <v>0</v>
      </c>
      <c r="O207" s="29">
        <v>0</v>
      </c>
      <c r="P207" s="29">
        <v>0</v>
      </c>
      <c r="Q207" s="32">
        <f>'Таблица 3 '!C197</f>
        <v>15394957.140000001</v>
      </c>
      <c r="R207" s="29">
        <f t="shared" si="23"/>
        <v>15394957.140000001</v>
      </c>
      <c r="S207" s="29">
        <v>0</v>
      </c>
      <c r="T207" s="29">
        <f t="shared" si="20"/>
        <v>3497.3436788659446</v>
      </c>
      <c r="U207" s="29">
        <f t="shared" si="21"/>
        <v>3497.3436788659446</v>
      </c>
      <c r="V207" s="33" t="s">
        <v>45</v>
      </c>
    </row>
    <row r="208" spans="1:23" s="23" customFormat="1" ht="44.25" customHeight="1" x14ac:dyDescent="0.25">
      <c r="A208" s="25">
        <v>186</v>
      </c>
      <c r="B208" s="26" t="s">
        <v>289</v>
      </c>
      <c r="C208" s="25" t="s">
        <v>43</v>
      </c>
      <c r="D208" s="25">
        <v>1959</v>
      </c>
      <c r="E208" s="27" t="s">
        <v>39</v>
      </c>
      <c r="F208" s="25" t="s">
        <v>44</v>
      </c>
      <c r="G208" s="28">
        <v>4</v>
      </c>
      <c r="H208" s="28">
        <v>2</v>
      </c>
      <c r="I208" s="29">
        <v>2594.8000000000002</v>
      </c>
      <c r="J208" s="29">
        <v>1275.0999999999999</v>
      </c>
      <c r="K208" s="29">
        <v>1243.2</v>
      </c>
      <c r="L208" s="30">
        <v>43</v>
      </c>
      <c r="M208" s="31">
        <f t="shared" si="22"/>
        <v>5519507.4900000002</v>
      </c>
      <c r="N208" s="29">
        <v>0</v>
      </c>
      <c r="O208" s="29">
        <v>0</v>
      </c>
      <c r="P208" s="29">
        <v>0</v>
      </c>
      <c r="Q208" s="32">
        <f>'Таблица 3 '!C198</f>
        <v>5519507.4900000002</v>
      </c>
      <c r="R208" s="29">
        <f t="shared" si="23"/>
        <v>5519507.4900000002</v>
      </c>
      <c r="S208" s="29">
        <v>0</v>
      </c>
      <c r="T208" s="29">
        <f t="shared" si="20"/>
        <v>4328.685977570387</v>
      </c>
      <c r="U208" s="29">
        <f t="shared" si="21"/>
        <v>4328.685977570387</v>
      </c>
      <c r="V208" s="33" t="s">
        <v>45</v>
      </c>
    </row>
    <row r="209" spans="1:23" s="23" customFormat="1" ht="44.25" customHeight="1" x14ac:dyDescent="0.25">
      <c r="A209" s="25">
        <v>187</v>
      </c>
      <c r="B209" s="36" t="s">
        <v>290</v>
      </c>
      <c r="C209" s="25" t="s">
        <v>43</v>
      </c>
      <c r="D209" s="27" t="s">
        <v>195</v>
      </c>
      <c r="E209" s="27" t="s">
        <v>39</v>
      </c>
      <c r="F209" s="25" t="s">
        <v>44</v>
      </c>
      <c r="G209" s="28">
        <v>2</v>
      </c>
      <c r="H209" s="28">
        <v>2</v>
      </c>
      <c r="I209" s="29">
        <v>511</v>
      </c>
      <c r="J209" s="29">
        <v>264.64999999999998</v>
      </c>
      <c r="K209" s="29">
        <v>281.7</v>
      </c>
      <c r="L209" s="30">
        <v>12</v>
      </c>
      <c r="M209" s="31">
        <f t="shared" si="22"/>
        <v>146034.68</v>
      </c>
      <c r="N209" s="29">
        <v>0</v>
      </c>
      <c r="O209" s="29">
        <v>0</v>
      </c>
      <c r="P209" s="29">
        <v>0</v>
      </c>
      <c r="Q209" s="32">
        <f>'Таблица 3 '!C199</f>
        <v>146034.68</v>
      </c>
      <c r="R209" s="29">
        <f t="shared" si="23"/>
        <v>146034.68</v>
      </c>
      <c r="S209" s="29">
        <v>0</v>
      </c>
      <c r="T209" s="29">
        <f t="shared" si="20"/>
        <v>551.80306064613637</v>
      </c>
      <c r="U209" s="29">
        <f t="shared" si="21"/>
        <v>551.80306064613637</v>
      </c>
      <c r="V209" s="33" t="s">
        <v>45</v>
      </c>
    </row>
    <row r="210" spans="1:23" s="23" customFormat="1" ht="44.25" customHeight="1" x14ac:dyDescent="0.25">
      <c r="A210" s="25">
        <v>188</v>
      </c>
      <c r="B210" s="26" t="s">
        <v>291</v>
      </c>
      <c r="C210" s="25" t="s">
        <v>43</v>
      </c>
      <c r="D210" s="25">
        <v>1958</v>
      </c>
      <c r="E210" s="27" t="s">
        <v>39</v>
      </c>
      <c r="F210" s="25" t="s">
        <v>77</v>
      </c>
      <c r="G210" s="28">
        <v>2</v>
      </c>
      <c r="H210" s="28">
        <v>1</v>
      </c>
      <c r="I210" s="32">
        <v>508</v>
      </c>
      <c r="J210" s="32">
        <v>283.7</v>
      </c>
      <c r="K210" s="32">
        <v>283.7</v>
      </c>
      <c r="L210" s="35">
        <v>8</v>
      </c>
      <c r="M210" s="31">
        <f t="shared" si="22"/>
        <v>207377.08</v>
      </c>
      <c r="N210" s="29">
        <v>0</v>
      </c>
      <c r="O210" s="29">
        <v>0</v>
      </c>
      <c r="P210" s="29">
        <v>0</v>
      </c>
      <c r="Q210" s="32">
        <f>'Таблица 3 '!C200</f>
        <v>207377.08</v>
      </c>
      <c r="R210" s="29">
        <f t="shared" si="23"/>
        <v>207377.08</v>
      </c>
      <c r="S210" s="32">
        <v>0</v>
      </c>
      <c r="T210" s="29">
        <f t="shared" si="20"/>
        <v>730.97314064152272</v>
      </c>
      <c r="U210" s="29">
        <f t="shared" si="21"/>
        <v>730.97314064152272</v>
      </c>
      <c r="V210" s="33" t="s">
        <v>45</v>
      </c>
    </row>
    <row r="211" spans="1:23" s="23" customFormat="1" ht="44.25" customHeight="1" x14ac:dyDescent="0.25">
      <c r="A211" s="25">
        <v>189</v>
      </c>
      <c r="B211" s="26" t="s">
        <v>292</v>
      </c>
      <c r="C211" s="25" t="s">
        <v>43</v>
      </c>
      <c r="D211" s="25">
        <v>1959</v>
      </c>
      <c r="E211" s="27" t="s">
        <v>39</v>
      </c>
      <c r="F211" s="25" t="s">
        <v>44</v>
      </c>
      <c r="G211" s="28">
        <v>3</v>
      </c>
      <c r="H211" s="28">
        <v>2</v>
      </c>
      <c r="I211" s="29">
        <v>1419.2</v>
      </c>
      <c r="J211" s="29">
        <v>849</v>
      </c>
      <c r="K211" s="29">
        <v>848.1</v>
      </c>
      <c r="L211" s="30">
        <v>24</v>
      </c>
      <c r="M211" s="31">
        <f t="shared" si="22"/>
        <v>226352.8</v>
      </c>
      <c r="N211" s="29">
        <v>0</v>
      </c>
      <c r="O211" s="29">
        <v>0</v>
      </c>
      <c r="P211" s="29">
        <v>0</v>
      </c>
      <c r="Q211" s="32">
        <f>'Таблица 3 '!C201</f>
        <v>226352.8</v>
      </c>
      <c r="R211" s="29">
        <f t="shared" si="23"/>
        <v>226352.8</v>
      </c>
      <c r="S211" s="29">
        <v>0</v>
      </c>
      <c r="T211" s="29">
        <f t="shared" si="20"/>
        <v>266.61107184923441</v>
      </c>
      <c r="U211" s="29">
        <f t="shared" si="21"/>
        <v>266.61107184923441</v>
      </c>
      <c r="V211" s="33" t="s">
        <v>45</v>
      </c>
    </row>
    <row r="212" spans="1:23" s="23" customFormat="1" ht="44.25" customHeight="1" x14ac:dyDescent="0.25">
      <c r="A212" s="25">
        <v>190</v>
      </c>
      <c r="B212" s="26" t="s">
        <v>293</v>
      </c>
      <c r="C212" s="25" t="s">
        <v>43</v>
      </c>
      <c r="D212" s="25">
        <v>1988</v>
      </c>
      <c r="E212" s="27" t="s">
        <v>57</v>
      </c>
      <c r="F212" s="25" t="s">
        <v>48</v>
      </c>
      <c r="G212" s="28">
        <v>9</v>
      </c>
      <c r="H212" s="28">
        <v>3</v>
      </c>
      <c r="I212" s="32">
        <v>6599.14</v>
      </c>
      <c r="J212" s="32">
        <v>5102.3</v>
      </c>
      <c r="K212" s="32">
        <v>4835</v>
      </c>
      <c r="L212" s="35">
        <v>174</v>
      </c>
      <c r="M212" s="31">
        <f t="shared" si="22"/>
        <v>235869.34</v>
      </c>
      <c r="N212" s="29">
        <v>0</v>
      </c>
      <c r="O212" s="29">
        <v>0</v>
      </c>
      <c r="P212" s="29">
        <v>0</v>
      </c>
      <c r="Q212" s="32">
        <f>'Таблица 3 '!C202</f>
        <v>235869.34</v>
      </c>
      <c r="R212" s="29">
        <f t="shared" si="23"/>
        <v>235869.34</v>
      </c>
      <c r="S212" s="32">
        <v>0</v>
      </c>
      <c r="T212" s="29">
        <f t="shared" si="20"/>
        <v>46.228042255453424</v>
      </c>
      <c r="U212" s="29">
        <f t="shared" si="21"/>
        <v>46.228042255453424</v>
      </c>
      <c r="V212" s="33" t="s">
        <v>45</v>
      </c>
    </row>
    <row r="213" spans="1:23" s="23" customFormat="1" ht="44.25" customHeight="1" x14ac:dyDescent="0.25">
      <c r="A213" s="25">
        <v>191</v>
      </c>
      <c r="B213" s="26" t="s">
        <v>294</v>
      </c>
      <c r="C213" s="25" t="s">
        <v>43</v>
      </c>
      <c r="D213" s="25">
        <v>1991</v>
      </c>
      <c r="E213" s="27" t="s">
        <v>50</v>
      </c>
      <c r="F213" s="25" t="s">
        <v>77</v>
      </c>
      <c r="G213" s="28">
        <v>5</v>
      </c>
      <c r="H213" s="28">
        <v>6</v>
      </c>
      <c r="I213" s="32">
        <v>5345.9</v>
      </c>
      <c r="J213" s="32">
        <v>4296.8999999999996</v>
      </c>
      <c r="K213" s="32">
        <v>3405</v>
      </c>
      <c r="L213" s="35">
        <v>124</v>
      </c>
      <c r="M213" s="31">
        <f t="shared" si="22"/>
        <v>3392991.14</v>
      </c>
      <c r="N213" s="29">
        <v>0</v>
      </c>
      <c r="O213" s="29">
        <v>0</v>
      </c>
      <c r="P213" s="29">
        <v>0</v>
      </c>
      <c r="Q213" s="32">
        <f>'Таблица 3 '!C203</f>
        <v>3392991.14</v>
      </c>
      <c r="R213" s="29">
        <f t="shared" si="23"/>
        <v>3392991.14</v>
      </c>
      <c r="S213" s="32">
        <v>0</v>
      </c>
      <c r="T213" s="29">
        <f t="shared" ref="T213:T275" si="24">M213/J213</f>
        <v>789.63698014847921</v>
      </c>
      <c r="U213" s="29">
        <f t="shared" ref="U213:U275" si="25">T213</f>
        <v>789.63698014847921</v>
      </c>
      <c r="V213" s="33" t="s">
        <v>45</v>
      </c>
    </row>
    <row r="214" spans="1:23" s="23" customFormat="1" ht="44.25" customHeight="1" x14ac:dyDescent="0.25">
      <c r="A214" s="25">
        <v>192</v>
      </c>
      <c r="B214" s="26" t="s">
        <v>295</v>
      </c>
      <c r="C214" s="25" t="s">
        <v>43</v>
      </c>
      <c r="D214" s="27" t="s">
        <v>176</v>
      </c>
      <c r="E214" s="27" t="s">
        <v>47</v>
      </c>
      <c r="F214" s="25" t="s">
        <v>48</v>
      </c>
      <c r="G214" s="28">
        <v>9</v>
      </c>
      <c r="H214" s="28">
        <v>3</v>
      </c>
      <c r="I214" s="29">
        <v>8660.34</v>
      </c>
      <c r="J214" s="29">
        <v>7372.4</v>
      </c>
      <c r="K214" s="29">
        <v>7234.1</v>
      </c>
      <c r="L214" s="30">
        <v>145</v>
      </c>
      <c r="M214" s="31">
        <f t="shared" si="22"/>
        <v>9251607.1999999993</v>
      </c>
      <c r="N214" s="29">
        <v>0</v>
      </c>
      <c r="O214" s="29">
        <v>0</v>
      </c>
      <c r="P214" s="29">
        <v>0</v>
      </c>
      <c r="Q214" s="32">
        <f>'Таблица 3 '!C204</f>
        <v>9251607.1999999993</v>
      </c>
      <c r="R214" s="29">
        <f t="shared" si="23"/>
        <v>9251607.1999999993</v>
      </c>
      <c r="S214" s="29">
        <v>0</v>
      </c>
      <c r="T214" s="29">
        <f t="shared" si="24"/>
        <v>1254.8976181433454</v>
      </c>
      <c r="U214" s="29">
        <f t="shared" si="25"/>
        <v>1254.8976181433454</v>
      </c>
      <c r="V214" s="33" t="s">
        <v>45</v>
      </c>
    </row>
    <row r="215" spans="1:23" s="23" customFormat="1" ht="44.25" customHeight="1" x14ac:dyDescent="0.25">
      <c r="A215" s="25">
        <v>193</v>
      </c>
      <c r="B215" s="36" t="s">
        <v>296</v>
      </c>
      <c r="C215" s="25" t="s">
        <v>43</v>
      </c>
      <c r="D215" s="27" t="s">
        <v>170</v>
      </c>
      <c r="E215" s="27" t="s">
        <v>39</v>
      </c>
      <c r="F215" s="25" t="s">
        <v>44</v>
      </c>
      <c r="G215" s="28">
        <v>2</v>
      </c>
      <c r="H215" s="28">
        <v>2</v>
      </c>
      <c r="I215" s="29">
        <v>424.4</v>
      </c>
      <c r="J215" s="29">
        <v>376.5</v>
      </c>
      <c r="K215" s="29">
        <v>323.7</v>
      </c>
      <c r="L215" s="30">
        <v>23</v>
      </c>
      <c r="M215" s="31">
        <f t="shared" si="22"/>
        <v>741885.47</v>
      </c>
      <c r="N215" s="29">
        <v>0</v>
      </c>
      <c r="O215" s="29">
        <v>0</v>
      </c>
      <c r="P215" s="29">
        <v>0</v>
      </c>
      <c r="Q215" s="32">
        <f>'Таблица 3 '!C205</f>
        <v>741885.47</v>
      </c>
      <c r="R215" s="29">
        <f t="shared" si="23"/>
        <v>741885.47</v>
      </c>
      <c r="S215" s="29">
        <v>0</v>
      </c>
      <c r="T215" s="29">
        <f t="shared" si="24"/>
        <v>1970.4793359893758</v>
      </c>
      <c r="U215" s="29">
        <f t="shared" si="25"/>
        <v>1970.4793359893758</v>
      </c>
      <c r="V215" s="33" t="s">
        <v>45</v>
      </c>
    </row>
    <row r="216" spans="1:23" s="23" customFormat="1" ht="44.25" customHeight="1" x14ac:dyDescent="0.25">
      <c r="A216" s="25">
        <v>194</v>
      </c>
      <c r="B216" s="26" t="s">
        <v>297</v>
      </c>
      <c r="C216" s="25" t="s">
        <v>43</v>
      </c>
      <c r="D216" s="25">
        <v>1973</v>
      </c>
      <c r="E216" s="27" t="s">
        <v>39</v>
      </c>
      <c r="F216" s="25" t="s">
        <v>48</v>
      </c>
      <c r="G216" s="28">
        <v>5</v>
      </c>
      <c r="H216" s="28">
        <v>4</v>
      </c>
      <c r="I216" s="32">
        <v>4583</v>
      </c>
      <c r="J216" s="32">
        <v>3295.8</v>
      </c>
      <c r="K216" s="32">
        <v>3137.7</v>
      </c>
      <c r="L216" s="35">
        <v>120</v>
      </c>
      <c r="M216" s="31">
        <f t="shared" si="22"/>
        <v>567598.57000000007</v>
      </c>
      <c r="N216" s="29">
        <v>0</v>
      </c>
      <c r="O216" s="29">
        <v>0</v>
      </c>
      <c r="P216" s="29">
        <v>0</v>
      </c>
      <c r="Q216" s="32">
        <f>'Таблица 3 '!C206</f>
        <v>567598.57000000007</v>
      </c>
      <c r="R216" s="29">
        <f t="shared" si="23"/>
        <v>567598.57000000007</v>
      </c>
      <c r="S216" s="32">
        <v>0</v>
      </c>
      <c r="T216" s="29">
        <f t="shared" si="24"/>
        <v>172.21875417197646</v>
      </c>
      <c r="U216" s="29">
        <f t="shared" si="25"/>
        <v>172.21875417197646</v>
      </c>
      <c r="V216" s="33" t="s">
        <v>45</v>
      </c>
      <c r="W216" s="44"/>
    </row>
    <row r="217" spans="1:23" s="23" customFormat="1" ht="44.25" customHeight="1" x14ac:dyDescent="0.25">
      <c r="A217" s="25">
        <v>195</v>
      </c>
      <c r="B217" s="26" t="s">
        <v>298</v>
      </c>
      <c r="C217" s="25" t="s">
        <v>90</v>
      </c>
      <c r="D217" s="25">
        <v>2010</v>
      </c>
      <c r="E217" s="27" t="s">
        <v>39</v>
      </c>
      <c r="F217" s="25" t="s">
        <v>44</v>
      </c>
      <c r="G217" s="28">
        <v>16</v>
      </c>
      <c r="H217" s="28">
        <v>5</v>
      </c>
      <c r="I217" s="32">
        <v>32374.33</v>
      </c>
      <c r="J217" s="32">
        <v>32374.33</v>
      </c>
      <c r="K217" s="32">
        <v>21280.43</v>
      </c>
      <c r="L217" s="35">
        <v>556</v>
      </c>
      <c r="M217" s="31">
        <f t="shared" si="22"/>
        <v>24062298</v>
      </c>
      <c r="N217" s="29">
        <v>0</v>
      </c>
      <c r="O217" s="29">
        <v>0</v>
      </c>
      <c r="P217" s="29">
        <v>0</v>
      </c>
      <c r="Q217" s="32">
        <f>'Таблица 3 '!C207</f>
        <v>24062298</v>
      </c>
      <c r="R217" s="29">
        <f t="shared" si="23"/>
        <v>24062298</v>
      </c>
      <c r="S217" s="32">
        <v>0</v>
      </c>
      <c r="T217" s="29">
        <f t="shared" si="24"/>
        <v>743.25238545477225</v>
      </c>
      <c r="U217" s="29">
        <f t="shared" si="25"/>
        <v>743.25238545477225</v>
      </c>
      <c r="V217" s="33" t="s">
        <v>45</v>
      </c>
    </row>
    <row r="218" spans="1:23" s="23" customFormat="1" ht="44.25" customHeight="1" x14ac:dyDescent="0.25">
      <c r="A218" s="25">
        <v>196</v>
      </c>
      <c r="B218" s="26" t="s">
        <v>299</v>
      </c>
      <c r="C218" s="25" t="s">
        <v>43</v>
      </c>
      <c r="D218" s="25">
        <v>1992</v>
      </c>
      <c r="E218" s="27" t="s">
        <v>60</v>
      </c>
      <c r="F218" s="25" t="s">
        <v>48</v>
      </c>
      <c r="G218" s="28">
        <v>10</v>
      </c>
      <c r="H218" s="28">
        <v>3</v>
      </c>
      <c r="I218" s="32">
        <v>7301.4</v>
      </c>
      <c r="J218" s="32">
        <v>7242.6</v>
      </c>
      <c r="K218" s="32">
        <v>7095.1</v>
      </c>
      <c r="L218" s="35">
        <v>239</v>
      </c>
      <c r="M218" s="31">
        <f t="shared" si="22"/>
        <v>354289.51</v>
      </c>
      <c r="N218" s="29">
        <v>0</v>
      </c>
      <c r="O218" s="29">
        <v>0</v>
      </c>
      <c r="P218" s="29">
        <v>0</v>
      </c>
      <c r="Q218" s="32">
        <f>'Таблица 3 '!C208</f>
        <v>354289.51</v>
      </c>
      <c r="R218" s="29">
        <f t="shared" si="23"/>
        <v>354289.51</v>
      </c>
      <c r="S218" s="32">
        <v>0</v>
      </c>
      <c r="T218" s="29">
        <f t="shared" si="24"/>
        <v>48.917448153977851</v>
      </c>
      <c r="U218" s="29">
        <f t="shared" si="25"/>
        <v>48.917448153977851</v>
      </c>
      <c r="V218" s="33" t="s">
        <v>45</v>
      </c>
    </row>
    <row r="219" spans="1:23" s="23" customFormat="1" ht="44.25" customHeight="1" x14ac:dyDescent="0.25">
      <c r="A219" s="25">
        <v>197</v>
      </c>
      <c r="B219" s="34" t="s">
        <v>300</v>
      </c>
      <c r="C219" s="25" t="s">
        <v>43</v>
      </c>
      <c r="D219" s="25">
        <v>1979</v>
      </c>
      <c r="E219" s="27" t="s">
        <v>60</v>
      </c>
      <c r="F219" s="25" t="s">
        <v>48</v>
      </c>
      <c r="G219" s="28">
        <v>5</v>
      </c>
      <c r="H219" s="28">
        <v>4</v>
      </c>
      <c r="I219" s="29">
        <v>3731.8</v>
      </c>
      <c r="J219" s="29">
        <v>3743.3</v>
      </c>
      <c r="K219" s="29">
        <v>2759.7</v>
      </c>
      <c r="L219" s="30">
        <v>177</v>
      </c>
      <c r="M219" s="31">
        <f t="shared" si="22"/>
        <v>2005555.68</v>
      </c>
      <c r="N219" s="29">
        <v>0</v>
      </c>
      <c r="O219" s="29">
        <v>0</v>
      </c>
      <c r="P219" s="29">
        <v>0</v>
      </c>
      <c r="Q219" s="32">
        <f>'Таблица 3 '!C209</f>
        <v>2005555.68</v>
      </c>
      <c r="R219" s="29">
        <f t="shared" si="23"/>
        <v>2005555.68</v>
      </c>
      <c r="S219" s="29">
        <v>0</v>
      </c>
      <c r="T219" s="29">
        <f t="shared" si="24"/>
        <v>535.77209414153288</v>
      </c>
      <c r="U219" s="29">
        <f t="shared" si="25"/>
        <v>535.77209414153288</v>
      </c>
      <c r="V219" s="33" t="s">
        <v>45</v>
      </c>
    </row>
    <row r="220" spans="1:23" s="23" customFormat="1" ht="44.25" customHeight="1" x14ac:dyDescent="0.25">
      <c r="A220" s="25">
        <v>198</v>
      </c>
      <c r="B220" s="34" t="s">
        <v>301</v>
      </c>
      <c r="C220" s="25" t="s">
        <v>43</v>
      </c>
      <c r="D220" s="25">
        <v>1979</v>
      </c>
      <c r="E220" s="27" t="s">
        <v>60</v>
      </c>
      <c r="F220" s="25" t="s">
        <v>48</v>
      </c>
      <c r="G220" s="28">
        <v>5</v>
      </c>
      <c r="H220" s="28">
        <v>4</v>
      </c>
      <c r="I220" s="29">
        <v>3731.8</v>
      </c>
      <c r="J220" s="29">
        <v>3743.3</v>
      </c>
      <c r="K220" s="29">
        <v>2759.7</v>
      </c>
      <c r="L220" s="30">
        <v>177</v>
      </c>
      <c r="M220" s="31">
        <f t="shared" si="22"/>
        <v>12311275.300000001</v>
      </c>
      <c r="N220" s="29">
        <v>0</v>
      </c>
      <c r="O220" s="29">
        <v>0</v>
      </c>
      <c r="P220" s="29">
        <v>0</v>
      </c>
      <c r="Q220" s="32">
        <f>'Таблица 3 '!C210</f>
        <v>12311275.300000001</v>
      </c>
      <c r="R220" s="29">
        <f t="shared" si="23"/>
        <v>12311275.300000001</v>
      </c>
      <c r="S220" s="29">
        <v>0</v>
      </c>
      <c r="T220" s="29">
        <f t="shared" si="24"/>
        <v>3288.8828840862343</v>
      </c>
      <c r="U220" s="29">
        <f t="shared" si="25"/>
        <v>3288.8828840862343</v>
      </c>
      <c r="V220" s="33" t="s">
        <v>45</v>
      </c>
    </row>
    <row r="221" spans="1:23" s="23" customFormat="1" ht="44.25" customHeight="1" x14ac:dyDescent="0.25">
      <c r="A221" s="25">
        <v>199</v>
      </c>
      <c r="B221" s="26" t="s">
        <v>302</v>
      </c>
      <c r="C221" s="25" t="s">
        <v>43</v>
      </c>
      <c r="D221" s="27" t="s">
        <v>137</v>
      </c>
      <c r="E221" s="27" t="s">
        <v>39</v>
      </c>
      <c r="F221" s="25" t="s">
        <v>48</v>
      </c>
      <c r="G221" s="28">
        <v>5</v>
      </c>
      <c r="H221" s="28">
        <v>4</v>
      </c>
      <c r="I221" s="29">
        <v>4036.6</v>
      </c>
      <c r="J221" s="29">
        <v>3678.7</v>
      </c>
      <c r="K221" s="29">
        <v>0</v>
      </c>
      <c r="L221" s="30">
        <v>145</v>
      </c>
      <c r="M221" s="31">
        <f t="shared" si="22"/>
        <v>17406748.720000003</v>
      </c>
      <c r="N221" s="29">
        <v>0</v>
      </c>
      <c r="O221" s="29">
        <v>0</v>
      </c>
      <c r="P221" s="29">
        <v>0</v>
      </c>
      <c r="Q221" s="32">
        <f>'Таблица 3 '!C211</f>
        <v>17406748.720000003</v>
      </c>
      <c r="R221" s="29">
        <f t="shared" si="23"/>
        <v>17406748.720000003</v>
      </c>
      <c r="S221" s="29">
        <v>0</v>
      </c>
      <c r="T221" s="29">
        <f t="shared" si="24"/>
        <v>4731.7663087503743</v>
      </c>
      <c r="U221" s="29">
        <f t="shared" si="25"/>
        <v>4731.7663087503743</v>
      </c>
      <c r="V221" s="33" t="s">
        <v>45</v>
      </c>
    </row>
    <row r="222" spans="1:23" s="23" customFormat="1" ht="44.25" customHeight="1" x14ac:dyDescent="0.25">
      <c r="A222" s="25">
        <v>200</v>
      </c>
      <c r="B222" s="26" t="s">
        <v>303</v>
      </c>
      <c r="C222" s="25" t="s">
        <v>43</v>
      </c>
      <c r="D222" s="25">
        <v>1984</v>
      </c>
      <c r="E222" s="27" t="s">
        <v>39</v>
      </c>
      <c r="F222" s="25" t="s">
        <v>48</v>
      </c>
      <c r="G222" s="28">
        <v>5</v>
      </c>
      <c r="H222" s="28">
        <v>4</v>
      </c>
      <c r="I222" s="29">
        <v>3963.4</v>
      </c>
      <c r="J222" s="29">
        <v>2717.4</v>
      </c>
      <c r="K222" s="29">
        <v>2560.8000000000002</v>
      </c>
      <c r="L222" s="30">
        <v>138</v>
      </c>
      <c r="M222" s="31">
        <f t="shared" si="22"/>
        <v>4304281.1100000003</v>
      </c>
      <c r="N222" s="29">
        <v>0</v>
      </c>
      <c r="O222" s="29">
        <v>0</v>
      </c>
      <c r="P222" s="29">
        <v>0</v>
      </c>
      <c r="Q222" s="32">
        <f>'Таблица 3 '!C212</f>
        <v>4304281.1100000003</v>
      </c>
      <c r="R222" s="29">
        <f t="shared" si="23"/>
        <v>4304281.1100000003</v>
      </c>
      <c r="S222" s="29">
        <v>0</v>
      </c>
      <c r="T222" s="29">
        <f t="shared" si="24"/>
        <v>1583.9703797747848</v>
      </c>
      <c r="U222" s="29">
        <f t="shared" si="25"/>
        <v>1583.9703797747848</v>
      </c>
      <c r="V222" s="33" t="s">
        <v>45</v>
      </c>
    </row>
    <row r="223" spans="1:23" s="23" customFormat="1" ht="24.75" customHeight="1" x14ac:dyDescent="0.2">
      <c r="A223" s="326" t="s">
        <v>304</v>
      </c>
      <c r="B223" s="326"/>
      <c r="C223" s="18" t="s">
        <v>40</v>
      </c>
      <c r="D223" s="18" t="s">
        <v>40</v>
      </c>
      <c r="E223" s="19" t="s">
        <v>40</v>
      </c>
      <c r="F223" s="18" t="s">
        <v>40</v>
      </c>
      <c r="G223" s="20" t="s">
        <v>40</v>
      </c>
      <c r="H223" s="20" t="s">
        <v>40</v>
      </c>
      <c r="I223" s="21">
        <f t="shared" ref="I223:S223" si="26">SUM(I224:I227)</f>
        <v>4229.67</v>
      </c>
      <c r="J223" s="21">
        <f t="shared" si="26"/>
        <v>3403.21</v>
      </c>
      <c r="K223" s="21">
        <f t="shared" si="26"/>
        <v>2851.75</v>
      </c>
      <c r="L223" s="22">
        <f t="shared" si="26"/>
        <v>129</v>
      </c>
      <c r="M223" s="21">
        <f t="shared" si="26"/>
        <v>3857022.2100000004</v>
      </c>
      <c r="N223" s="21">
        <f t="shared" si="26"/>
        <v>0</v>
      </c>
      <c r="O223" s="21">
        <f t="shared" si="26"/>
        <v>0</v>
      </c>
      <c r="P223" s="21">
        <f t="shared" si="26"/>
        <v>0</v>
      </c>
      <c r="Q223" s="21">
        <f t="shared" si="26"/>
        <v>3857022.2100000004</v>
      </c>
      <c r="R223" s="21">
        <f t="shared" si="26"/>
        <v>3857022.2100000004</v>
      </c>
      <c r="S223" s="21">
        <f t="shared" si="26"/>
        <v>0</v>
      </c>
      <c r="T223" s="58" t="s">
        <v>40</v>
      </c>
      <c r="U223" s="24" t="s">
        <v>40</v>
      </c>
      <c r="V223" s="59" t="s">
        <v>40</v>
      </c>
    </row>
    <row r="224" spans="1:23" s="23" customFormat="1" ht="44.25" customHeight="1" x14ac:dyDescent="0.25">
      <c r="A224" s="25">
        <v>1</v>
      </c>
      <c r="B224" s="37" t="s">
        <v>305</v>
      </c>
      <c r="C224" s="25" t="s">
        <v>43</v>
      </c>
      <c r="D224" s="25">
        <v>1970</v>
      </c>
      <c r="E224" s="27" t="s">
        <v>39</v>
      </c>
      <c r="F224" s="25" t="s">
        <v>77</v>
      </c>
      <c r="G224" s="28">
        <v>2</v>
      </c>
      <c r="H224" s="28">
        <v>1</v>
      </c>
      <c r="I224" s="29">
        <v>743.92</v>
      </c>
      <c r="J224" s="29">
        <v>697</v>
      </c>
      <c r="K224" s="29">
        <v>627.4</v>
      </c>
      <c r="L224" s="30">
        <v>33</v>
      </c>
      <c r="M224" s="29">
        <f t="shared" ref="M224:M227" si="27">SUM(N224:Q224)</f>
        <v>539069.31000000006</v>
      </c>
      <c r="N224" s="29">
        <v>0</v>
      </c>
      <c r="O224" s="29">
        <v>0</v>
      </c>
      <c r="P224" s="29">
        <v>0</v>
      </c>
      <c r="Q224" s="32">
        <f>'Таблица 3 '!C214</f>
        <v>539069.31000000006</v>
      </c>
      <c r="R224" s="29">
        <f t="shared" ref="R224:R227" si="28">Q224</f>
        <v>539069.31000000006</v>
      </c>
      <c r="S224" s="29">
        <v>0</v>
      </c>
      <c r="T224" s="42">
        <f t="shared" si="24"/>
        <v>773.41364418938315</v>
      </c>
      <c r="U224" s="29">
        <f t="shared" si="25"/>
        <v>773.41364418938315</v>
      </c>
      <c r="V224" s="33" t="s">
        <v>45</v>
      </c>
    </row>
    <row r="225" spans="1:23" s="23" customFormat="1" ht="44.25" customHeight="1" x14ac:dyDescent="0.25">
      <c r="A225" s="25">
        <v>2</v>
      </c>
      <c r="B225" s="37" t="s">
        <v>306</v>
      </c>
      <c r="C225" s="25" t="s">
        <v>43</v>
      </c>
      <c r="D225" s="25">
        <v>1970</v>
      </c>
      <c r="E225" s="27" t="s">
        <v>155</v>
      </c>
      <c r="F225" s="25" t="s">
        <v>44</v>
      </c>
      <c r="G225" s="28">
        <v>2</v>
      </c>
      <c r="H225" s="28">
        <v>2</v>
      </c>
      <c r="I225" s="32">
        <v>774</v>
      </c>
      <c r="J225" s="32">
        <v>730.98</v>
      </c>
      <c r="K225" s="32">
        <v>730.98</v>
      </c>
      <c r="L225" s="35">
        <v>28</v>
      </c>
      <c r="M225" s="29">
        <f t="shared" si="27"/>
        <v>631285.16</v>
      </c>
      <c r="N225" s="29">
        <v>0</v>
      </c>
      <c r="O225" s="29">
        <v>0</v>
      </c>
      <c r="P225" s="29">
        <v>0</v>
      </c>
      <c r="Q225" s="32">
        <f>'Таблица 3 '!C215</f>
        <v>631285.16</v>
      </c>
      <c r="R225" s="29">
        <f t="shared" si="28"/>
        <v>631285.16</v>
      </c>
      <c r="S225" s="29">
        <v>0</v>
      </c>
      <c r="T225" s="42">
        <f t="shared" si="24"/>
        <v>863.61481846288541</v>
      </c>
      <c r="U225" s="32">
        <f t="shared" si="25"/>
        <v>863.61481846288541</v>
      </c>
      <c r="V225" s="33" t="s">
        <v>45</v>
      </c>
      <c r="W225" s="44"/>
    </row>
    <row r="226" spans="1:23" s="23" customFormat="1" ht="44.25" customHeight="1" x14ac:dyDescent="0.25">
      <c r="A226" s="25">
        <v>3</v>
      </c>
      <c r="B226" s="37" t="s">
        <v>307</v>
      </c>
      <c r="C226" s="25" t="s">
        <v>43</v>
      </c>
      <c r="D226" s="25">
        <v>1994</v>
      </c>
      <c r="E226" s="27" t="s">
        <v>39</v>
      </c>
      <c r="F226" s="25" t="s">
        <v>77</v>
      </c>
      <c r="G226" s="28">
        <v>2</v>
      </c>
      <c r="H226" s="28">
        <v>2</v>
      </c>
      <c r="I226" s="29">
        <v>2180.4499999999998</v>
      </c>
      <c r="J226" s="29">
        <v>1483.11</v>
      </c>
      <c r="K226" s="29">
        <v>1001.25</v>
      </c>
      <c r="L226" s="30">
        <v>46</v>
      </c>
      <c r="M226" s="29">
        <f t="shared" si="27"/>
        <v>364300.42</v>
      </c>
      <c r="N226" s="29">
        <v>0</v>
      </c>
      <c r="O226" s="29">
        <v>0</v>
      </c>
      <c r="P226" s="29">
        <v>0</v>
      </c>
      <c r="Q226" s="32">
        <f>'Таблица 3 '!C216</f>
        <v>364300.42</v>
      </c>
      <c r="R226" s="29">
        <f t="shared" si="28"/>
        <v>364300.42</v>
      </c>
      <c r="S226" s="29">
        <v>0</v>
      </c>
      <c r="T226" s="42">
        <f t="shared" si="24"/>
        <v>245.63277167573546</v>
      </c>
      <c r="U226" s="29">
        <f t="shared" si="25"/>
        <v>245.63277167573546</v>
      </c>
      <c r="V226" s="33" t="s">
        <v>45</v>
      </c>
    </row>
    <row r="227" spans="1:23" s="23" customFormat="1" ht="44.25" customHeight="1" x14ac:dyDescent="0.25">
      <c r="A227" s="25">
        <v>4</v>
      </c>
      <c r="B227" s="38" t="s">
        <v>308</v>
      </c>
      <c r="C227" s="25" t="s">
        <v>43</v>
      </c>
      <c r="D227" s="25">
        <v>1967</v>
      </c>
      <c r="E227" s="27" t="s">
        <v>39</v>
      </c>
      <c r="F227" s="25" t="s">
        <v>44</v>
      </c>
      <c r="G227" s="28">
        <v>2</v>
      </c>
      <c r="H227" s="28">
        <v>3</v>
      </c>
      <c r="I227" s="32">
        <v>531.29999999999995</v>
      </c>
      <c r="J227" s="32">
        <v>492.12</v>
      </c>
      <c r="K227" s="32">
        <v>492.12</v>
      </c>
      <c r="L227" s="35">
        <v>22</v>
      </c>
      <c r="M227" s="29">
        <f t="shared" si="27"/>
        <v>2322367.3200000003</v>
      </c>
      <c r="N227" s="29">
        <v>0</v>
      </c>
      <c r="O227" s="29">
        <v>0</v>
      </c>
      <c r="P227" s="29">
        <v>0</v>
      </c>
      <c r="Q227" s="32">
        <f>'Таблица 3 '!C217</f>
        <v>2322367.3200000003</v>
      </c>
      <c r="R227" s="29">
        <f t="shared" si="28"/>
        <v>2322367.3200000003</v>
      </c>
      <c r="S227" s="29">
        <v>0</v>
      </c>
      <c r="T227" s="29">
        <f t="shared" si="24"/>
        <v>4719.1077785905882</v>
      </c>
      <c r="U227" s="32">
        <f t="shared" si="25"/>
        <v>4719.1077785905882</v>
      </c>
      <c r="V227" s="33" t="s">
        <v>45</v>
      </c>
      <c r="W227" s="44"/>
    </row>
    <row r="228" spans="1:23" s="23" customFormat="1" ht="27" customHeight="1" x14ac:dyDescent="0.2">
      <c r="A228" s="322" t="s">
        <v>309</v>
      </c>
      <c r="B228" s="322"/>
      <c r="C228" s="18" t="s">
        <v>39</v>
      </c>
      <c r="D228" s="18" t="s">
        <v>39</v>
      </c>
      <c r="E228" s="19" t="s">
        <v>39</v>
      </c>
      <c r="F228" s="18" t="s">
        <v>39</v>
      </c>
      <c r="G228" s="20" t="s">
        <v>39</v>
      </c>
      <c r="H228" s="20" t="s">
        <v>39</v>
      </c>
      <c r="I228" s="60">
        <f t="shared" ref="I228:S228" si="29">SUM(I229:I236)</f>
        <v>42614</v>
      </c>
      <c r="J228" s="60">
        <f t="shared" si="29"/>
        <v>32395.9</v>
      </c>
      <c r="K228" s="60">
        <f t="shared" si="29"/>
        <v>27979.750000000004</v>
      </c>
      <c r="L228" s="61">
        <f t="shared" si="29"/>
        <v>1576</v>
      </c>
      <c r="M228" s="60">
        <f t="shared" si="29"/>
        <v>7365317.75</v>
      </c>
      <c r="N228" s="60">
        <f t="shared" si="29"/>
        <v>0</v>
      </c>
      <c r="O228" s="60">
        <f t="shared" si="29"/>
        <v>0</v>
      </c>
      <c r="P228" s="60">
        <f t="shared" si="29"/>
        <v>0</v>
      </c>
      <c r="Q228" s="60">
        <f t="shared" si="29"/>
        <v>7365317.75</v>
      </c>
      <c r="R228" s="60">
        <f t="shared" si="29"/>
        <v>7365317.75</v>
      </c>
      <c r="S228" s="60">
        <f t="shared" si="29"/>
        <v>0</v>
      </c>
      <c r="T228" s="24" t="s">
        <v>39</v>
      </c>
      <c r="U228" s="24" t="s">
        <v>39</v>
      </c>
      <c r="V228" s="20" t="s">
        <v>39</v>
      </c>
    </row>
    <row r="229" spans="1:23" s="23" customFormat="1" ht="44.25" customHeight="1" x14ac:dyDescent="0.25">
      <c r="A229" s="25">
        <v>1</v>
      </c>
      <c r="B229" s="37" t="s">
        <v>310</v>
      </c>
      <c r="C229" s="25" t="s">
        <v>43</v>
      </c>
      <c r="D229" s="25">
        <v>1971</v>
      </c>
      <c r="E229" s="27" t="s">
        <v>39</v>
      </c>
      <c r="F229" s="25" t="s">
        <v>44</v>
      </c>
      <c r="G229" s="28">
        <v>5</v>
      </c>
      <c r="H229" s="28">
        <v>8</v>
      </c>
      <c r="I229" s="32">
        <v>4530</v>
      </c>
      <c r="J229" s="32">
        <v>4268.6000000000004</v>
      </c>
      <c r="K229" s="32">
        <v>3524.7</v>
      </c>
      <c r="L229" s="35">
        <v>247</v>
      </c>
      <c r="M229" s="32">
        <f t="shared" ref="M229:M236" si="30">SUM(N229:Q229)</f>
        <v>1411852.8</v>
      </c>
      <c r="N229" s="29">
        <v>0</v>
      </c>
      <c r="O229" s="29">
        <v>0</v>
      </c>
      <c r="P229" s="29">
        <v>0</v>
      </c>
      <c r="Q229" s="32">
        <f>'Таблица 3 '!C219</f>
        <v>1411852.8</v>
      </c>
      <c r="R229" s="32">
        <f t="shared" ref="R229:R236" si="31">Q229</f>
        <v>1411852.8</v>
      </c>
      <c r="S229" s="29">
        <v>0</v>
      </c>
      <c r="T229" s="42">
        <f t="shared" si="24"/>
        <v>330.75312748910648</v>
      </c>
      <c r="U229" s="32">
        <f t="shared" si="25"/>
        <v>330.75312748910648</v>
      </c>
      <c r="V229" s="33" t="s">
        <v>45</v>
      </c>
    </row>
    <row r="230" spans="1:23" s="23" customFormat="1" ht="44.25" customHeight="1" x14ac:dyDescent="0.25">
      <c r="A230" s="25">
        <v>2</v>
      </c>
      <c r="B230" s="37" t="s">
        <v>311</v>
      </c>
      <c r="C230" s="25" t="s">
        <v>43</v>
      </c>
      <c r="D230" s="25">
        <v>1982</v>
      </c>
      <c r="E230" s="27" t="s">
        <v>39</v>
      </c>
      <c r="F230" s="25" t="s">
        <v>44</v>
      </c>
      <c r="G230" s="28">
        <v>5</v>
      </c>
      <c r="H230" s="28">
        <v>8</v>
      </c>
      <c r="I230" s="32">
        <v>7729</v>
      </c>
      <c r="J230" s="32">
        <v>6061.43</v>
      </c>
      <c r="K230" s="32">
        <v>5231.43</v>
      </c>
      <c r="L230" s="35">
        <v>316</v>
      </c>
      <c r="M230" s="32">
        <f t="shared" si="30"/>
        <v>735913.2</v>
      </c>
      <c r="N230" s="29">
        <v>0</v>
      </c>
      <c r="O230" s="29">
        <v>0</v>
      </c>
      <c r="P230" s="29">
        <v>0</v>
      </c>
      <c r="Q230" s="32">
        <f>'Таблица 3 '!C220</f>
        <v>735913.2</v>
      </c>
      <c r="R230" s="32">
        <f t="shared" si="31"/>
        <v>735913.2</v>
      </c>
      <c r="S230" s="29">
        <v>0</v>
      </c>
      <c r="T230" s="29">
        <f t="shared" si="24"/>
        <v>121.40917242300908</v>
      </c>
      <c r="U230" s="32">
        <f t="shared" si="25"/>
        <v>121.40917242300908</v>
      </c>
      <c r="V230" s="33" t="s">
        <v>45</v>
      </c>
    </row>
    <row r="231" spans="1:23" s="23" customFormat="1" ht="44.25" customHeight="1" x14ac:dyDescent="0.25">
      <c r="A231" s="25">
        <v>3</v>
      </c>
      <c r="B231" s="37" t="s">
        <v>312</v>
      </c>
      <c r="C231" s="25" t="s">
        <v>43</v>
      </c>
      <c r="D231" s="25">
        <v>1987</v>
      </c>
      <c r="E231" s="27" t="s">
        <v>39</v>
      </c>
      <c r="F231" s="25" t="s">
        <v>44</v>
      </c>
      <c r="G231" s="28">
        <v>5</v>
      </c>
      <c r="H231" s="28">
        <v>4</v>
      </c>
      <c r="I231" s="32">
        <v>3644</v>
      </c>
      <c r="J231" s="32">
        <v>2483</v>
      </c>
      <c r="K231" s="32">
        <v>2052.58</v>
      </c>
      <c r="L231" s="35">
        <v>134</v>
      </c>
      <c r="M231" s="32">
        <f t="shared" si="30"/>
        <v>1435542.7</v>
      </c>
      <c r="N231" s="29">
        <v>0</v>
      </c>
      <c r="O231" s="29">
        <v>0</v>
      </c>
      <c r="P231" s="29">
        <v>0</v>
      </c>
      <c r="Q231" s="32">
        <f>'Таблица 3 '!C221</f>
        <v>1435542.7</v>
      </c>
      <c r="R231" s="32">
        <f t="shared" si="31"/>
        <v>1435542.7</v>
      </c>
      <c r="S231" s="29">
        <v>0</v>
      </c>
      <c r="T231" s="29">
        <f t="shared" si="24"/>
        <v>578.14848973016512</v>
      </c>
      <c r="U231" s="32">
        <f t="shared" si="25"/>
        <v>578.14848973016512</v>
      </c>
      <c r="V231" s="33" t="s">
        <v>45</v>
      </c>
    </row>
    <row r="232" spans="1:23" s="23" customFormat="1" ht="44.25" customHeight="1" x14ac:dyDescent="0.25">
      <c r="A232" s="25">
        <v>4</v>
      </c>
      <c r="B232" s="37" t="s">
        <v>313</v>
      </c>
      <c r="C232" s="25" t="s">
        <v>43</v>
      </c>
      <c r="D232" s="25">
        <v>1987</v>
      </c>
      <c r="E232" s="27" t="s">
        <v>39</v>
      </c>
      <c r="F232" s="25" t="s">
        <v>44</v>
      </c>
      <c r="G232" s="28">
        <v>5</v>
      </c>
      <c r="H232" s="28">
        <v>4</v>
      </c>
      <c r="I232" s="32">
        <v>4083</v>
      </c>
      <c r="J232" s="32">
        <v>2582.34</v>
      </c>
      <c r="K232" s="32">
        <v>2176.5500000000002</v>
      </c>
      <c r="L232" s="35">
        <v>134</v>
      </c>
      <c r="M232" s="32">
        <f t="shared" si="30"/>
        <v>1309798.56</v>
      </c>
      <c r="N232" s="29">
        <v>0</v>
      </c>
      <c r="O232" s="29">
        <v>0</v>
      </c>
      <c r="P232" s="29">
        <v>0</v>
      </c>
      <c r="Q232" s="32">
        <f>'Таблица 3 '!C222</f>
        <v>1309798.56</v>
      </c>
      <c r="R232" s="32">
        <f t="shared" si="31"/>
        <v>1309798.56</v>
      </c>
      <c r="S232" s="29">
        <v>0</v>
      </c>
      <c r="T232" s="29">
        <f t="shared" si="24"/>
        <v>507.21382931759564</v>
      </c>
      <c r="U232" s="32">
        <f t="shared" si="25"/>
        <v>507.21382931759564</v>
      </c>
      <c r="V232" s="33" t="s">
        <v>45</v>
      </c>
    </row>
    <row r="233" spans="1:23" s="23" customFormat="1" ht="44.25" customHeight="1" x14ac:dyDescent="0.25">
      <c r="A233" s="25">
        <v>5</v>
      </c>
      <c r="B233" s="37" t="s">
        <v>314</v>
      </c>
      <c r="C233" s="25" t="s">
        <v>43</v>
      </c>
      <c r="D233" s="25">
        <v>1985</v>
      </c>
      <c r="E233" s="27" t="s">
        <v>39</v>
      </c>
      <c r="F233" s="25" t="s">
        <v>44</v>
      </c>
      <c r="G233" s="28">
        <v>5</v>
      </c>
      <c r="H233" s="28">
        <v>8</v>
      </c>
      <c r="I233" s="32">
        <v>6370</v>
      </c>
      <c r="J233" s="32">
        <v>4820.24</v>
      </c>
      <c r="K233" s="32">
        <v>3926.29</v>
      </c>
      <c r="L233" s="35">
        <v>269</v>
      </c>
      <c r="M233" s="32">
        <f t="shared" si="30"/>
        <v>537451.19999999995</v>
      </c>
      <c r="N233" s="29">
        <v>0</v>
      </c>
      <c r="O233" s="29">
        <v>0</v>
      </c>
      <c r="P233" s="29">
        <v>0</v>
      </c>
      <c r="Q233" s="32">
        <f>'Таблица 3 '!C223</f>
        <v>537451.19999999995</v>
      </c>
      <c r="R233" s="32">
        <f t="shared" si="31"/>
        <v>537451.19999999995</v>
      </c>
      <c r="S233" s="29">
        <v>0</v>
      </c>
      <c r="T233" s="29">
        <f t="shared" si="24"/>
        <v>111.49884653046321</v>
      </c>
      <c r="U233" s="32">
        <f t="shared" si="25"/>
        <v>111.49884653046321</v>
      </c>
      <c r="V233" s="33" t="s">
        <v>45</v>
      </c>
    </row>
    <row r="234" spans="1:23" s="23" customFormat="1" ht="44.25" customHeight="1" x14ac:dyDescent="0.25">
      <c r="A234" s="25">
        <v>6</v>
      </c>
      <c r="B234" s="37" t="s">
        <v>315</v>
      </c>
      <c r="C234" s="25" t="s">
        <v>43</v>
      </c>
      <c r="D234" s="25">
        <v>1995</v>
      </c>
      <c r="E234" s="27" t="s">
        <v>39</v>
      </c>
      <c r="F234" s="25" t="s">
        <v>44</v>
      </c>
      <c r="G234" s="28">
        <v>5</v>
      </c>
      <c r="H234" s="28">
        <v>5</v>
      </c>
      <c r="I234" s="32">
        <v>5822</v>
      </c>
      <c r="J234" s="32">
        <v>3966.64</v>
      </c>
      <c r="K234" s="32">
        <v>3598.08</v>
      </c>
      <c r="L234" s="35">
        <v>175</v>
      </c>
      <c r="M234" s="32">
        <f t="shared" si="30"/>
        <v>534284.4</v>
      </c>
      <c r="N234" s="29">
        <v>0</v>
      </c>
      <c r="O234" s="29">
        <v>0</v>
      </c>
      <c r="P234" s="29">
        <v>0</v>
      </c>
      <c r="Q234" s="32">
        <f>'Таблица 3 '!C224</f>
        <v>534284.4</v>
      </c>
      <c r="R234" s="32">
        <f t="shared" si="31"/>
        <v>534284.4</v>
      </c>
      <c r="S234" s="29">
        <v>0</v>
      </c>
      <c r="T234" s="29">
        <f t="shared" si="24"/>
        <v>134.69445172740657</v>
      </c>
      <c r="U234" s="32">
        <f t="shared" si="25"/>
        <v>134.69445172740657</v>
      </c>
      <c r="V234" s="33" t="s">
        <v>45</v>
      </c>
    </row>
    <row r="235" spans="1:23" s="23" customFormat="1" ht="44.25" customHeight="1" x14ac:dyDescent="0.25">
      <c r="A235" s="25">
        <v>7</v>
      </c>
      <c r="B235" s="37" t="s">
        <v>316</v>
      </c>
      <c r="C235" s="25" t="s">
        <v>43</v>
      </c>
      <c r="D235" s="25">
        <v>1985</v>
      </c>
      <c r="E235" s="27" t="s">
        <v>39</v>
      </c>
      <c r="F235" s="25" t="s">
        <v>44</v>
      </c>
      <c r="G235" s="28">
        <v>3</v>
      </c>
      <c r="H235" s="28">
        <v>9</v>
      </c>
      <c r="I235" s="32">
        <v>6377</v>
      </c>
      <c r="J235" s="32">
        <v>4696.07</v>
      </c>
      <c r="K235" s="32">
        <v>4471.57</v>
      </c>
      <c r="L235" s="35">
        <v>152</v>
      </c>
      <c r="M235" s="32">
        <f t="shared" si="30"/>
        <v>1006030.09</v>
      </c>
      <c r="N235" s="29">
        <v>0</v>
      </c>
      <c r="O235" s="29">
        <v>0</v>
      </c>
      <c r="P235" s="29">
        <v>0</v>
      </c>
      <c r="Q235" s="32">
        <f>'Таблица 3 '!C225</f>
        <v>1006030.09</v>
      </c>
      <c r="R235" s="32">
        <f t="shared" si="31"/>
        <v>1006030.09</v>
      </c>
      <c r="S235" s="29">
        <v>0</v>
      </c>
      <c r="T235" s="42">
        <f t="shared" si="24"/>
        <v>214.2280864637878</v>
      </c>
      <c r="U235" s="32">
        <f t="shared" si="25"/>
        <v>214.2280864637878</v>
      </c>
      <c r="V235" s="33" t="s">
        <v>45</v>
      </c>
    </row>
    <row r="236" spans="1:23" s="23" customFormat="1" ht="44.25" customHeight="1" x14ac:dyDescent="0.25">
      <c r="A236" s="25">
        <v>8</v>
      </c>
      <c r="B236" s="37" t="s">
        <v>317</v>
      </c>
      <c r="C236" s="25" t="s">
        <v>43</v>
      </c>
      <c r="D236" s="25">
        <v>1981</v>
      </c>
      <c r="E236" s="27" t="s">
        <v>39</v>
      </c>
      <c r="F236" s="25" t="s">
        <v>44</v>
      </c>
      <c r="G236" s="28">
        <v>5</v>
      </c>
      <c r="H236" s="28">
        <v>4</v>
      </c>
      <c r="I236" s="32">
        <v>4059</v>
      </c>
      <c r="J236" s="32">
        <v>3517.58</v>
      </c>
      <c r="K236" s="32">
        <v>2998.55</v>
      </c>
      <c r="L236" s="35">
        <v>149</v>
      </c>
      <c r="M236" s="32">
        <f t="shared" si="30"/>
        <v>394444.79999999999</v>
      </c>
      <c r="N236" s="29">
        <v>0</v>
      </c>
      <c r="O236" s="29">
        <v>0</v>
      </c>
      <c r="P236" s="29">
        <v>0</v>
      </c>
      <c r="Q236" s="32">
        <f>'Таблица 3 '!C226</f>
        <v>394444.79999999999</v>
      </c>
      <c r="R236" s="32">
        <f t="shared" si="31"/>
        <v>394444.79999999999</v>
      </c>
      <c r="S236" s="29">
        <v>0</v>
      </c>
      <c r="T236" s="42">
        <f t="shared" si="24"/>
        <v>112.13527481962031</v>
      </c>
      <c r="U236" s="32">
        <f t="shared" si="25"/>
        <v>112.13527481962031</v>
      </c>
      <c r="V236" s="33" t="s">
        <v>45</v>
      </c>
    </row>
    <row r="237" spans="1:23" s="23" customFormat="1" ht="25.9" customHeight="1" x14ac:dyDescent="0.2">
      <c r="A237" s="322" t="s">
        <v>318</v>
      </c>
      <c r="B237" s="322"/>
      <c r="C237" s="20" t="s">
        <v>39</v>
      </c>
      <c r="D237" s="20" t="s">
        <v>39</v>
      </c>
      <c r="E237" s="62" t="s">
        <v>39</v>
      </c>
      <c r="F237" s="20" t="s">
        <v>39</v>
      </c>
      <c r="G237" s="20" t="s">
        <v>39</v>
      </c>
      <c r="H237" s="20" t="s">
        <v>39</v>
      </c>
      <c r="I237" s="60">
        <f t="shared" ref="I237:S237" si="32">SUM(I238:I243)</f>
        <v>6364.630000000001</v>
      </c>
      <c r="J237" s="60">
        <f t="shared" si="32"/>
        <v>5250.68</v>
      </c>
      <c r="K237" s="60">
        <f t="shared" si="32"/>
        <v>4890.18</v>
      </c>
      <c r="L237" s="61">
        <f t="shared" si="32"/>
        <v>175</v>
      </c>
      <c r="M237" s="60">
        <f t="shared" si="32"/>
        <v>9120712.9400000013</v>
      </c>
      <c r="N237" s="60">
        <f t="shared" si="32"/>
        <v>0</v>
      </c>
      <c r="O237" s="60">
        <f t="shared" si="32"/>
        <v>0</v>
      </c>
      <c r="P237" s="60">
        <f t="shared" si="32"/>
        <v>0</v>
      </c>
      <c r="Q237" s="60">
        <f t="shared" si="32"/>
        <v>9120712.9400000013</v>
      </c>
      <c r="R237" s="60">
        <f t="shared" si="32"/>
        <v>9120712.9400000013</v>
      </c>
      <c r="S237" s="60">
        <f t="shared" si="32"/>
        <v>0</v>
      </c>
      <c r="T237" s="24" t="s">
        <v>39</v>
      </c>
      <c r="U237" s="24" t="s">
        <v>39</v>
      </c>
      <c r="V237" s="20" t="s">
        <v>39</v>
      </c>
    </row>
    <row r="238" spans="1:23" s="23" customFormat="1" ht="46.5" customHeight="1" x14ac:dyDescent="0.25">
      <c r="A238" s="25">
        <v>1</v>
      </c>
      <c r="B238" s="38" t="s">
        <v>319</v>
      </c>
      <c r="C238" s="25" t="s">
        <v>43</v>
      </c>
      <c r="D238" s="28">
        <v>1956</v>
      </c>
      <c r="E238" s="63">
        <v>2015</v>
      </c>
      <c r="F238" s="28" t="s">
        <v>320</v>
      </c>
      <c r="G238" s="28">
        <v>2</v>
      </c>
      <c r="H238" s="28">
        <v>1</v>
      </c>
      <c r="I238" s="29">
        <v>486.74</v>
      </c>
      <c r="J238" s="29">
        <v>486.74</v>
      </c>
      <c r="K238" s="29">
        <v>426.24</v>
      </c>
      <c r="L238" s="30">
        <v>12</v>
      </c>
      <c r="M238" s="29">
        <f t="shared" ref="M238:M243" si="33">SUM(N238:Q238)</f>
        <v>3306912.45</v>
      </c>
      <c r="N238" s="29">
        <v>0</v>
      </c>
      <c r="O238" s="29">
        <v>0</v>
      </c>
      <c r="P238" s="29">
        <v>0</v>
      </c>
      <c r="Q238" s="29">
        <f>'Таблица 3 '!C228</f>
        <v>3306912.45</v>
      </c>
      <c r="R238" s="29">
        <f t="shared" ref="R238:R243" si="34">Q238</f>
        <v>3306912.45</v>
      </c>
      <c r="S238" s="29">
        <v>0</v>
      </c>
      <c r="T238" s="29">
        <f t="shared" si="24"/>
        <v>6794.0018284915977</v>
      </c>
      <c r="U238" s="29">
        <f t="shared" si="25"/>
        <v>6794.0018284915977</v>
      </c>
      <c r="V238" s="33" t="s">
        <v>45</v>
      </c>
    </row>
    <row r="239" spans="1:23" s="23" customFormat="1" ht="48.75" customHeight="1" x14ac:dyDescent="0.25">
      <c r="A239" s="25">
        <v>2</v>
      </c>
      <c r="B239" s="38" t="s">
        <v>321</v>
      </c>
      <c r="C239" s="25" t="s">
        <v>43</v>
      </c>
      <c r="D239" s="25">
        <v>1955</v>
      </c>
      <c r="E239" s="27" t="s">
        <v>40</v>
      </c>
      <c r="F239" s="25" t="s">
        <v>320</v>
      </c>
      <c r="G239" s="28">
        <v>2</v>
      </c>
      <c r="H239" s="28">
        <v>1</v>
      </c>
      <c r="I239" s="32">
        <v>529.65</v>
      </c>
      <c r="J239" s="32">
        <v>488.24</v>
      </c>
      <c r="K239" s="32">
        <v>488.24</v>
      </c>
      <c r="L239" s="35">
        <v>21</v>
      </c>
      <c r="M239" s="29">
        <f t="shared" si="33"/>
        <v>2537814.96</v>
      </c>
      <c r="N239" s="29">
        <v>0</v>
      </c>
      <c r="O239" s="29">
        <v>0</v>
      </c>
      <c r="P239" s="29">
        <v>0</v>
      </c>
      <c r="Q239" s="29">
        <f>'Таблица 3 '!C229</f>
        <v>2537814.96</v>
      </c>
      <c r="R239" s="29">
        <f t="shared" si="34"/>
        <v>2537814.96</v>
      </c>
      <c r="S239" s="29">
        <v>0</v>
      </c>
      <c r="T239" s="29">
        <f t="shared" si="24"/>
        <v>5197.8841553334423</v>
      </c>
      <c r="U239" s="29">
        <f t="shared" si="25"/>
        <v>5197.8841553334423</v>
      </c>
      <c r="V239" s="33" t="s">
        <v>45</v>
      </c>
    </row>
    <row r="240" spans="1:23" s="23" customFormat="1" ht="45" customHeight="1" x14ac:dyDescent="0.25">
      <c r="A240" s="25">
        <v>3</v>
      </c>
      <c r="B240" s="38" t="s">
        <v>322</v>
      </c>
      <c r="C240" s="25" t="s">
        <v>43</v>
      </c>
      <c r="D240" s="25">
        <v>1977</v>
      </c>
      <c r="E240" s="27" t="s">
        <v>40</v>
      </c>
      <c r="F240" s="25" t="s">
        <v>320</v>
      </c>
      <c r="G240" s="28">
        <v>2</v>
      </c>
      <c r="H240" s="28">
        <v>2</v>
      </c>
      <c r="I240" s="32">
        <v>828.6</v>
      </c>
      <c r="J240" s="32">
        <v>729.42</v>
      </c>
      <c r="K240" s="32">
        <v>429.42</v>
      </c>
      <c r="L240" s="35">
        <v>30</v>
      </c>
      <c r="M240" s="29">
        <f t="shared" si="33"/>
        <v>602749.24</v>
      </c>
      <c r="N240" s="29">
        <v>0</v>
      </c>
      <c r="O240" s="29">
        <v>0</v>
      </c>
      <c r="P240" s="29">
        <v>0</v>
      </c>
      <c r="Q240" s="29">
        <f>'Таблица 3 '!C230</f>
        <v>602749.24</v>
      </c>
      <c r="R240" s="29">
        <f t="shared" si="34"/>
        <v>602749.24</v>
      </c>
      <c r="S240" s="29">
        <v>0</v>
      </c>
      <c r="T240" s="29">
        <f t="shared" si="24"/>
        <v>826.34043486605799</v>
      </c>
      <c r="U240" s="29">
        <f t="shared" si="25"/>
        <v>826.34043486605799</v>
      </c>
      <c r="V240" s="33" t="s">
        <v>45</v>
      </c>
    </row>
    <row r="241" spans="1:23" s="23" customFormat="1" ht="45" customHeight="1" x14ac:dyDescent="0.25">
      <c r="A241" s="25">
        <v>4</v>
      </c>
      <c r="B241" s="38" t="s">
        <v>323</v>
      </c>
      <c r="C241" s="25" t="s">
        <v>43</v>
      </c>
      <c r="D241" s="25">
        <v>1958</v>
      </c>
      <c r="E241" s="27" t="s">
        <v>39</v>
      </c>
      <c r="F241" s="25" t="s">
        <v>44</v>
      </c>
      <c r="G241" s="28">
        <v>2</v>
      </c>
      <c r="H241" s="28">
        <v>1</v>
      </c>
      <c r="I241" s="29">
        <v>396.98</v>
      </c>
      <c r="J241" s="29">
        <v>356.83</v>
      </c>
      <c r="K241" s="29">
        <v>356.83</v>
      </c>
      <c r="L241" s="30">
        <v>14</v>
      </c>
      <c r="M241" s="29">
        <f t="shared" si="33"/>
        <v>2349399.0700000003</v>
      </c>
      <c r="N241" s="29">
        <v>0</v>
      </c>
      <c r="O241" s="29">
        <v>0</v>
      </c>
      <c r="P241" s="29">
        <v>0</v>
      </c>
      <c r="Q241" s="29">
        <f>'Таблица 3 '!C231</f>
        <v>2349399.0700000003</v>
      </c>
      <c r="R241" s="29">
        <f t="shared" si="34"/>
        <v>2349399.0700000003</v>
      </c>
      <c r="S241" s="29">
        <v>0</v>
      </c>
      <c r="T241" s="29">
        <f t="shared" si="24"/>
        <v>6584.0850545077501</v>
      </c>
      <c r="U241" s="29">
        <f t="shared" si="25"/>
        <v>6584.0850545077501</v>
      </c>
      <c r="V241" s="33" t="s">
        <v>45</v>
      </c>
    </row>
    <row r="242" spans="1:23" s="23" customFormat="1" ht="45" customHeight="1" x14ac:dyDescent="0.25">
      <c r="A242" s="25">
        <v>5</v>
      </c>
      <c r="B242" s="37" t="s">
        <v>324</v>
      </c>
      <c r="C242" s="25" t="s">
        <v>43</v>
      </c>
      <c r="D242" s="25">
        <v>1991</v>
      </c>
      <c r="E242" s="27" t="s">
        <v>40</v>
      </c>
      <c r="F242" s="25" t="s">
        <v>77</v>
      </c>
      <c r="G242" s="28">
        <v>2</v>
      </c>
      <c r="H242" s="28">
        <v>3</v>
      </c>
      <c r="I242" s="29">
        <v>1054.43</v>
      </c>
      <c r="J242" s="29">
        <v>960.67</v>
      </c>
      <c r="K242" s="29">
        <v>960.67</v>
      </c>
      <c r="L242" s="30">
        <v>26</v>
      </c>
      <c r="M242" s="29">
        <f t="shared" si="33"/>
        <v>217797.22</v>
      </c>
      <c r="N242" s="29">
        <v>0</v>
      </c>
      <c r="O242" s="29">
        <v>0</v>
      </c>
      <c r="P242" s="29">
        <v>0</v>
      </c>
      <c r="Q242" s="29">
        <f>'Таблица 3 '!C232</f>
        <v>217797.22</v>
      </c>
      <c r="R242" s="29">
        <f t="shared" si="34"/>
        <v>217797.22</v>
      </c>
      <c r="S242" s="29">
        <v>0</v>
      </c>
      <c r="T242" s="29">
        <f t="shared" si="24"/>
        <v>226.71387677350185</v>
      </c>
      <c r="U242" s="29">
        <f t="shared" si="25"/>
        <v>226.71387677350185</v>
      </c>
      <c r="V242" s="33" t="s">
        <v>45</v>
      </c>
      <c r="W242" s="44"/>
    </row>
    <row r="243" spans="1:23" s="44" customFormat="1" ht="45.6" customHeight="1" x14ac:dyDescent="0.25">
      <c r="A243" s="25">
        <v>6</v>
      </c>
      <c r="B243" s="37" t="s">
        <v>325</v>
      </c>
      <c r="C243" s="25" t="s">
        <v>326</v>
      </c>
      <c r="D243" s="25">
        <v>1970</v>
      </c>
      <c r="E243" s="25" t="s">
        <v>40</v>
      </c>
      <c r="F243" s="25" t="s">
        <v>77</v>
      </c>
      <c r="G243" s="28">
        <v>5</v>
      </c>
      <c r="H243" s="28">
        <v>3</v>
      </c>
      <c r="I243" s="32">
        <v>3068.23</v>
      </c>
      <c r="J243" s="32">
        <v>2228.7800000000002</v>
      </c>
      <c r="K243" s="32">
        <v>2228.7800000000002</v>
      </c>
      <c r="L243" s="35">
        <v>72</v>
      </c>
      <c r="M243" s="29">
        <f t="shared" si="33"/>
        <v>106040</v>
      </c>
      <c r="N243" s="29">
        <v>0</v>
      </c>
      <c r="O243" s="29">
        <v>0</v>
      </c>
      <c r="P243" s="29">
        <v>0</v>
      </c>
      <c r="Q243" s="29">
        <f>'Таблица 3 '!C233</f>
        <v>106040</v>
      </c>
      <c r="R243" s="29">
        <f t="shared" si="34"/>
        <v>106040</v>
      </c>
      <c r="S243" s="29">
        <v>0</v>
      </c>
      <c r="T243" s="29">
        <f t="shared" si="24"/>
        <v>47.57759850680641</v>
      </c>
      <c r="U243" s="29">
        <f t="shared" si="25"/>
        <v>47.57759850680641</v>
      </c>
      <c r="V243" s="33" t="s">
        <v>45</v>
      </c>
    </row>
    <row r="244" spans="1:23" s="44" customFormat="1" ht="28.9" customHeight="1" x14ac:dyDescent="0.25">
      <c r="A244" s="322" t="s">
        <v>327</v>
      </c>
      <c r="B244" s="322"/>
      <c r="C244" s="18" t="s">
        <v>39</v>
      </c>
      <c r="D244" s="18" t="s">
        <v>39</v>
      </c>
      <c r="E244" s="19" t="s">
        <v>39</v>
      </c>
      <c r="F244" s="18" t="s">
        <v>39</v>
      </c>
      <c r="G244" s="20" t="s">
        <v>39</v>
      </c>
      <c r="H244" s="20" t="s">
        <v>39</v>
      </c>
      <c r="I244" s="60">
        <f t="shared" ref="I244:S244" si="35">SUM(I245:I265)</f>
        <v>44219.390000000007</v>
      </c>
      <c r="J244" s="60">
        <f t="shared" si="35"/>
        <v>35698.74</v>
      </c>
      <c r="K244" s="60">
        <f t="shared" si="35"/>
        <v>32731.14</v>
      </c>
      <c r="L244" s="61">
        <f t="shared" si="35"/>
        <v>1468</v>
      </c>
      <c r="M244" s="60">
        <f t="shared" si="35"/>
        <v>63007081.75999999</v>
      </c>
      <c r="N244" s="60">
        <f t="shared" si="35"/>
        <v>0</v>
      </c>
      <c r="O244" s="60">
        <f t="shared" si="35"/>
        <v>0</v>
      </c>
      <c r="P244" s="60">
        <f t="shared" si="35"/>
        <v>0</v>
      </c>
      <c r="Q244" s="60">
        <f t="shared" si="35"/>
        <v>63007081.75999999</v>
      </c>
      <c r="R244" s="60">
        <f t="shared" si="35"/>
        <v>63007081.75999999</v>
      </c>
      <c r="S244" s="60">
        <f t="shared" si="35"/>
        <v>0</v>
      </c>
      <c r="T244" s="24" t="s">
        <v>39</v>
      </c>
      <c r="U244" s="24" t="s">
        <v>39</v>
      </c>
      <c r="V244" s="20" t="s">
        <v>39</v>
      </c>
    </row>
    <row r="245" spans="1:23" s="44" customFormat="1" ht="42.75" customHeight="1" x14ac:dyDescent="0.25">
      <c r="A245" s="25">
        <v>1</v>
      </c>
      <c r="B245" s="37" t="s">
        <v>328</v>
      </c>
      <c r="C245" s="25" t="s">
        <v>43</v>
      </c>
      <c r="D245" s="25">
        <v>1973</v>
      </c>
      <c r="E245" s="27" t="s">
        <v>39</v>
      </c>
      <c r="F245" s="25" t="s">
        <v>77</v>
      </c>
      <c r="G245" s="28">
        <v>4</v>
      </c>
      <c r="H245" s="28">
        <v>4</v>
      </c>
      <c r="I245" s="29">
        <v>3243.4</v>
      </c>
      <c r="J245" s="29">
        <v>2747.6</v>
      </c>
      <c r="K245" s="29">
        <v>934.3</v>
      </c>
      <c r="L245" s="30">
        <v>150</v>
      </c>
      <c r="M245" s="29">
        <f t="shared" ref="M245:M265" si="36">SUM(N245:Q245)</f>
        <v>328968.78999999998</v>
      </c>
      <c r="N245" s="29">
        <v>0</v>
      </c>
      <c r="O245" s="29">
        <v>0</v>
      </c>
      <c r="P245" s="29">
        <v>0</v>
      </c>
      <c r="Q245" s="29">
        <f>'Таблица 3 '!C235</f>
        <v>328968.78999999998</v>
      </c>
      <c r="R245" s="29">
        <f t="shared" ref="R245:R265" si="37">Q245</f>
        <v>328968.78999999998</v>
      </c>
      <c r="S245" s="29">
        <v>0</v>
      </c>
      <c r="T245" s="29">
        <f t="shared" si="24"/>
        <v>119.72950575047314</v>
      </c>
      <c r="U245" s="29">
        <f t="shared" si="25"/>
        <v>119.72950575047314</v>
      </c>
      <c r="V245" s="33" t="s">
        <v>45</v>
      </c>
    </row>
    <row r="246" spans="1:23" s="44" customFormat="1" ht="42.75" customHeight="1" x14ac:dyDescent="0.25">
      <c r="A246" s="25">
        <v>2</v>
      </c>
      <c r="B246" s="37" t="s">
        <v>329</v>
      </c>
      <c r="C246" s="25" t="s">
        <v>43</v>
      </c>
      <c r="D246" s="25">
        <v>1971</v>
      </c>
      <c r="E246" s="27">
        <v>2024</v>
      </c>
      <c r="F246" s="25" t="s">
        <v>77</v>
      </c>
      <c r="G246" s="28">
        <v>5</v>
      </c>
      <c r="H246" s="28">
        <v>4</v>
      </c>
      <c r="I246" s="29">
        <v>4306.42</v>
      </c>
      <c r="J246" s="29">
        <v>3140</v>
      </c>
      <c r="K246" s="29">
        <v>3011.6</v>
      </c>
      <c r="L246" s="30">
        <v>76</v>
      </c>
      <c r="M246" s="29">
        <f t="shared" si="36"/>
        <v>294009.59999999998</v>
      </c>
      <c r="N246" s="29">
        <v>0</v>
      </c>
      <c r="O246" s="29">
        <v>0</v>
      </c>
      <c r="P246" s="29">
        <v>0</v>
      </c>
      <c r="Q246" s="29">
        <f>'Таблица 3 '!C236</f>
        <v>294009.59999999998</v>
      </c>
      <c r="R246" s="29">
        <f t="shared" si="37"/>
        <v>294009.59999999998</v>
      </c>
      <c r="S246" s="29">
        <v>0</v>
      </c>
      <c r="T246" s="29">
        <f t="shared" si="24"/>
        <v>93.633630573248396</v>
      </c>
      <c r="U246" s="29">
        <f t="shared" si="25"/>
        <v>93.633630573248396</v>
      </c>
      <c r="V246" s="33" t="s">
        <v>45</v>
      </c>
    </row>
    <row r="247" spans="1:23" s="44" customFormat="1" ht="42.75" customHeight="1" x14ac:dyDescent="0.25">
      <c r="A247" s="25">
        <v>3</v>
      </c>
      <c r="B247" s="38" t="s">
        <v>330</v>
      </c>
      <c r="C247" s="25" t="s">
        <v>43</v>
      </c>
      <c r="D247" s="25">
        <v>1970</v>
      </c>
      <c r="E247" s="27">
        <v>2018</v>
      </c>
      <c r="F247" s="25" t="s">
        <v>77</v>
      </c>
      <c r="G247" s="28">
        <v>2</v>
      </c>
      <c r="H247" s="28">
        <v>2</v>
      </c>
      <c r="I247" s="29">
        <v>757.2</v>
      </c>
      <c r="J247" s="29">
        <v>719</v>
      </c>
      <c r="K247" s="29">
        <v>618.9</v>
      </c>
      <c r="L247" s="30">
        <v>35</v>
      </c>
      <c r="M247" s="29">
        <f t="shared" si="36"/>
        <v>489559.2</v>
      </c>
      <c r="N247" s="29">
        <v>0</v>
      </c>
      <c r="O247" s="29">
        <v>0</v>
      </c>
      <c r="P247" s="29">
        <v>0</v>
      </c>
      <c r="Q247" s="29">
        <f>'Таблица 3 '!C237</f>
        <v>489559.2</v>
      </c>
      <c r="R247" s="29">
        <f t="shared" si="37"/>
        <v>489559.2</v>
      </c>
      <c r="S247" s="29">
        <v>0</v>
      </c>
      <c r="T247" s="29">
        <f t="shared" si="24"/>
        <v>680.88901251738525</v>
      </c>
      <c r="U247" s="29">
        <f t="shared" si="25"/>
        <v>680.88901251738525</v>
      </c>
      <c r="V247" s="33" t="s">
        <v>45</v>
      </c>
    </row>
    <row r="248" spans="1:23" s="44" customFormat="1" ht="42.75" customHeight="1" x14ac:dyDescent="0.25">
      <c r="A248" s="25">
        <v>4</v>
      </c>
      <c r="B248" s="37" t="s">
        <v>331</v>
      </c>
      <c r="C248" s="25" t="s">
        <v>43</v>
      </c>
      <c r="D248" s="25">
        <v>1976</v>
      </c>
      <c r="E248" s="27" t="s">
        <v>39</v>
      </c>
      <c r="F248" s="25" t="s">
        <v>77</v>
      </c>
      <c r="G248" s="28">
        <v>2</v>
      </c>
      <c r="H248" s="28">
        <v>2</v>
      </c>
      <c r="I248" s="29">
        <v>1181.5999999999999</v>
      </c>
      <c r="J248" s="29">
        <v>736.7</v>
      </c>
      <c r="K248" s="29">
        <v>695.5</v>
      </c>
      <c r="L248" s="30">
        <v>26</v>
      </c>
      <c r="M248" s="29">
        <f t="shared" si="36"/>
        <v>1086514.21</v>
      </c>
      <c r="N248" s="29">
        <v>0</v>
      </c>
      <c r="O248" s="29">
        <v>0</v>
      </c>
      <c r="P248" s="29">
        <v>0</v>
      </c>
      <c r="Q248" s="29">
        <f>'Таблица 3 '!C238</f>
        <v>1086514.21</v>
      </c>
      <c r="R248" s="29">
        <f t="shared" si="37"/>
        <v>1086514.21</v>
      </c>
      <c r="S248" s="29">
        <v>0</v>
      </c>
      <c r="T248" s="29">
        <f t="shared" si="24"/>
        <v>1474.8394326048594</v>
      </c>
      <c r="U248" s="29">
        <f t="shared" si="25"/>
        <v>1474.8394326048594</v>
      </c>
      <c r="V248" s="33" t="s">
        <v>45</v>
      </c>
    </row>
    <row r="249" spans="1:23" s="44" customFormat="1" ht="42.75" customHeight="1" x14ac:dyDescent="0.25">
      <c r="A249" s="25">
        <v>5</v>
      </c>
      <c r="B249" s="37" t="s">
        <v>332</v>
      </c>
      <c r="C249" s="25" t="s">
        <v>43</v>
      </c>
      <c r="D249" s="25">
        <v>1974</v>
      </c>
      <c r="E249" s="27" t="s">
        <v>39</v>
      </c>
      <c r="F249" s="25" t="s">
        <v>77</v>
      </c>
      <c r="G249" s="28">
        <v>2</v>
      </c>
      <c r="H249" s="28">
        <v>2</v>
      </c>
      <c r="I249" s="29">
        <v>1551</v>
      </c>
      <c r="J249" s="29">
        <v>720.2</v>
      </c>
      <c r="K249" s="29">
        <v>720.2</v>
      </c>
      <c r="L249" s="30">
        <v>33</v>
      </c>
      <c r="M249" s="29">
        <f t="shared" si="36"/>
        <v>225060</v>
      </c>
      <c r="N249" s="29">
        <v>0</v>
      </c>
      <c r="O249" s="29">
        <v>0</v>
      </c>
      <c r="P249" s="29">
        <v>0</v>
      </c>
      <c r="Q249" s="29">
        <f>'Таблица 3 '!C239</f>
        <v>225060</v>
      </c>
      <c r="R249" s="29">
        <f t="shared" si="37"/>
        <v>225060</v>
      </c>
      <c r="S249" s="29">
        <v>0</v>
      </c>
      <c r="T249" s="29">
        <f t="shared" si="24"/>
        <v>312.4965287420161</v>
      </c>
      <c r="U249" s="29">
        <f t="shared" si="25"/>
        <v>312.4965287420161</v>
      </c>
      <c r="V249" s="33" t="s">
        <v>45</v>
      </c>
    </row>
    <row r="250" spans="1:23" s="44" customFormat="1" ht="42.75" customHeight="1" x14ac:dyDescent="0.25">
      <c r="A250" s="25">
        <v>6</v>
      </c>
      <c r="B250" s="37" t="s">
        <v>333</v>
      </c>
      <c r="C250" s="25" t="s">
        <v>43</v>
      </c>
      <c r="D250" s="25">
        <v>1988</v>
      </c>
      <c r="E250" s="27" t="s">
        <v>39</v>
      </c>
      <c r="F250" s="25" t="s">
        <v>77</v>
      </c>
      <c r="G250" s="28">
        <v>5</v>
      </c>
      <c r="H250" s="28">
        <v>6</v>
      </c>
      <c r="I250" s="29">
        <v>4806.3</v>
      </c>
      <c r="J250" s="29">
        <v>3779.5</v>
      </c>
      <c r="K250" s="29">
        <v>3779.5</v>
      </c>
      <c r="L250" s="30">
        <v>118</v>
      </c>
      <c r="M250" s="29">
        <f t="shared" si="36"/>
        <v>3067388.09</v>
      </c>
      <c r="N250" s="29">
        <v>0</v>
      </c>
      <c r="O250" s="29">
        <v>0</v>
      </c>
      <c r="P250" s="29">
        <v>0</v>
      </c>
      <c r="Q250" s="29">
        <f>'Таблица 3 '!C240</f>
        <v>3067388.09</v>
      </c>
      <c r="R250" s="29">
        <f t="shared" si="37"/>
        <v>3067388.09</v>
      </c>
      <c r="S250" s="29">
        <v>0</v>
      </c>
      <c r="T250" s="29">
        <f t="shared" si="24"/>
        <v>811.58568329144066</v>
      </c>
      <c r="U250" s="29">
        <f t="shared" si="25"/>
        <v>811.58568329144066</v>
      </c>
      <c r="V250" s="33" t="s">
        <v>45</v>
      </c>
    </row>
    <row r="251" spans="1:23" s="44" customFormat="1" ht="42.75" customHeight="1" x14ac:dyDescent="0.25">
      <c r="A251" s="25">
        <v>7</v>
      </c>
      <c r="B251" s="37" t="s">
        <v>334</v>
      </c>
      <c r="C251" s="25" t="s">
        <v>43</v>
      </c>
      <c r="D251" s="25">
        <v>1986</v>
      </c>
      <c r="E251" s="27">
        <v>2024</v>
      </c>
      <c r="F251" s="25" t="s">
        <v>77</v>
      </c>
      <c r="G251" s="28">
        <v>5</v>
      </c>
      <c r="H251" s="28">
        <v>10</v>
      </c>
      <c r="I251" s="29">
        <v>8544.5</v>
      </c>
      <c r="J251" s="29">
        <v>6130.61</v>
      </c>
      <c r="K251" s="29">
        <v>5964.31</v>
      </c>
      <c r="L251" s="30">
        <v>253</v>
      </c>
      <c r="M251" s="29">
        <f t="shared" si="36"/>
        <v>27240615.620000001</v>
      </c>
      <c r="N251" s="29">
        <v>0</v>
      </c>
      <c r="O251" s="29">
        <v>0</v>
      </c>
      <c r="P251" s="29">
        <v>0</v>
      </c>
      <c r="Q251" s="29">
        <f>'Таблица 3 '!C241</f>
        <v>27240615.620000001</v>
      </c>
      <c r="R251" s="29">
        <f t="shared" si="37"/>
        <v>27240615.620000001</v>
      </c>
      <c r="S251" s="29">
        <v>0</v>
      </c>
      <c r="T251" s="29">
        <f t="shared" si="24"/>
        <v>4443.377676935901</v>
      </c>
      <c r="U251" s="29">
        <f t="shared" si="25"/>
        <v>4443.377676935901</v>
      </c>
      <c r="V251" s="33" t="s">
        <v>45</v>
      </c>
    </row>
    <row r="252" spans="1:23" s="44" customFormat="1" ht="42.75" customHeight="1" x14ac:dyDescent="0.25">
      <c r="A252" s="25">
        <v>8</v>
      </c>
      <c r="B252" s="37" t="s">
        <v>335</v>
      </c>
      <c r="C252" s="25" t="s">
        <v>43</v>
      </c>
      <c r="D252" s="25">
        <v>1955</v>
      </c>
      <c r="E252" s="27" t="s">
        <v>39</v>
      </c>
      <c r="F252" s="25" t="s">
        <v>77</v>
      </c>
      <c r="G252" s="28">
        <v>2</v>
      </c>
      <c r="H252" s="28">
        <v>2</v>
      </c>
      <c r="I252" s="29">
        <v>472.2</v>
      </c>
      <c r="J252" s="29">
        <v>391.31</v>
      </c>
      <c r="K252" s="29">
        <v>391.31</v>
      </c>
      <c r="L252" s="30">
        <v>13</v>
      </c>
      <c r="M252" s="29">
        <f t="shared" si="36"/>
        <v>1487412.56</v>
      </c>
      <c r="N252" s="29">
        <v>0</v>
      </c>
      <c r="O252" s="29">
        <v>0</v>
      </c>
      <c r="P252" s="29">
        <v>0</v>
      </c>
      <c r="Q252" s="29">
        <f>'Таблица 3 '!C242</f>
        <v>1487412.56</v>
      </c>
      <c r="R252" s="29">
        <f t="shared" si="37"/>
        <v>1487412.56</v>
      </c>
      <c r="S252" s="29">
        <v>0</v>
      </c>
      <c r="T252" s="29">
        <f t="shared" si="24"/>
        <v>3801.1105261812886</v>
      </c>
      <c r="U252" s="29">
        <f t="shared" si="25"/>
        <v>3801.1105261812886</v>
      </c>
      <c r="V252" s="33" t="s">
        <v>45</v>
      </c>
    </row>
    <row r="253" spans="1:23" s="44" customFormat="1" ht="42.75" customHeight="1" x14ac:dyDescent="0.25">
      <c r="A253" s="25">
        <v>9</v>
      </c>
      <c r="B253" s="37" t="s">
        <v>336</v>
      </c>
      <c r="C253" s="25" t="s">
        <v>43</v>
      </c>
      <c r="D253" s="25">
        <v>1955</v>
      </c>
      <c r="E253" s="27" t="s">
        <v>39</v>
      </c>
      <c r="F253" s="25" t="s">
        <v>77</v>
      </c>
      <c r="G253" s="28">
        <v>2</v>
      </c>
      <c r="H253" s="28">
        <v>2</v>
      </c>
      <c r="I253" s="29">
        <v>436.7</v>
      </c>
      <c r="J253" s="29">
        <v>392.6</v>
      </c>
      <c r="K253" s="29">
        <v>392.6</v>
      </c>
      <c r="L253" s="30">
        <v>20</v>
      </c>
      <c r="M253" s="29">
        <f t="shared" si="36"/>
        <v>158648.47</v>
      </c>
      <c r="N253" s="29">
        <v>0</v>
      </c>
      <c r="O253" s="29">
        <v>0</v>
      </c>
      <c r="P253" s="29">
        <v>0</v>
      </c>
      <c r="Q253" s="29">
        <f>'Таблица 3 '!C243</f>
        <v>158648.47</v>
      </c>
      <c r="R253" s="29">
        <f t="shared" si="37"/>
        <v>158648.47</v>
      </c>
      <c r="S253" s="29">
        <v>0</v>
      </c>
      <c r="T253" s="29">
        <f t="shared" si="24"/>
        <v>404.0969689251146</v>
      </c>
      <c r="U253" s="29">
        <f t="shared" si="25"/>
        <v>404.0969689251146</v>
      </c>
      <c r="V253" s="33" t="s">
        <v>45</v>
      </c>
    </row>
    <row r="254" spans="1:23" s="44" customFormat="1" ht="42.75" customHeight="1" x14ac:dyDescent="0.25">
      <c r="A254" s="25">
        <v>10</v>
      </c>
      <c r="B254" s="37" t="s">
        <v>337</v>
      </c>
      <c r="C254" s="25" t="s">
        <v>43</v>
      </c>
      <c r="D254" s="25">
        <v>1963</v>
      </c>
      <c r="E254" s="27" t="s">
        <v>39</v>
      </c>
      <c r="F254" s="25" t="s">
        <v>77</v>
      </c>
      <c r="G254" s="28">
        <v>2</v>
      </c>
      <c r="H254" s="28">
        <v>2</v>
      </c>
      <c r="I254" s="29">
        <v>405.78</v>
      </c>
      <c r="J254" s="29">
        <v>365.2</v>
      </c>
      <c r="K254" s="29">
        <v>321</v>
      </c>
      <c r="L254" s="30">
        <v>23</v>
      </c>
      <c r="M254" s="29">
        <f t="shared" si="36"/>
        <v>1049059.6100000001</v>
      </c>
      <c r="N254" s="29">
        <v>0</v>
      </c>
      <c r="O254" s="29">
        <v>0</v>
      </c>
      <c r="P254" s="29">
        <v>0</v>
      </c>
      <c r="Q254" s="29">
        <f>'Таблица 3 '!C244</f>
        <v>1049059.6100000001</v>
      </c>
      <c r="R254" s="29">
        <f t="shared" si="37"/>
        <v>1049059.6100000001</v>
      </c>
      <c r="S254" s="29">
        <v>0</v>
      </c>
      <c r="T254" s="29">
        <f t="shared" si="24"/>
        <v>2872.5619112814898</v>
      </c>
      <c r="U254" s="29">
        <f t="shared" si="25"/>
        <v>2872.5619112814898</v>
      </c>
      <c r="V254" s="33" t="s">
        <v>45</v>
      </c>
    </row>
    <row r="255" spans="1:23" s="44" customFormat="1" ht="42.75" customHeight="1" x14ac:dyDescent="0.25">
      <c r="A255" s="25">
        <v>11</v>
      </c>
      <c r="B255" s="37" t="s">
        <v>338</v>
      </c>
      <c r="C255" s="25" t="s">
        <v>43</v>
      </c>
      <c r="D255" s="25">
        <v>1955</v>
      </c>
      <c r="E255" s="27">
        <v>2024</v>
      </c>
      <c r="F255" s="25" t="s">
        <v>44</v>
      </c>
      <c r="G255" s="28">
        <v>2</v>
      </c>
      <c r="H255" s="28">
        <v>2</v>
      </c>
      <c r="I255" s="32">
        <v>440.9</v>
      </c>
      <c r="J255" s="32">
        <v>397.1</v>
      </c>
      <c r="K255" s="32">
        <v>397.1</v>
      </c>
      <c r="L255" s="35">
        <v>16</v>
      </c>
      <c r="M255" s="29">
        <f t="shared" si="36"/>
        <v>2615161.62</v>
      </c>
      <c r="N255" s="29">
        <v>0</v>
      </c>
      <c r="O255" s="29">
        <v>0</v>
      </c>
      <c r="P255" s="29">
        <v>0</v>
      </c>
      <c r="Q255" s="29">
        <f>'Таблица 3 '!C245</f>
        <v>2615161.62</v>
      </c>
      <c r="R255" s="29">
        <f t="shared" si="37"/>
        <v>2615161.62</v>
      </c>
      <c r="S255" s="29">
        <v>0</v>
      </c>
      <c r="T255" s="29">
        <f t="shared" si="24"/>
        <v>6585.6500125912871</v>
      </c>
      <c r="U255" s="29">
        <f t="shared" si="25"/>
        <v>6585.6500125912871</v>
      </c>
      <c r="V255" s="33" t="s">
        <v>45</v>
      </c>
    </row>
    <row r="256" spans="1:23" s="44" customFormat="1" ht="42.75" customHeight="1" x14ac:dyDescent="0.25">
      <c r="A256" s="25">
        <v>12</v>
      </c>
      <c r="B256" s="37" t="s">
        <v>339</v>
      </c>
      <c r="C256" s="25" t="s">
        <v>43</v>
      </c>
      <c r="D256" s="25">
        <v>1961</v>
      </c>
      <c r="E256" s="27" t="s">
        <v>39</v>
      </c>
      <c r="F256" s="25" t="s">
        <v>77</v>
      </c>
      <c r="G256" s="28">
        <v>2</v>
      </c>
      <c r="H256" s="28">
        <v>2</v>
      </c>
      <c r="I256" s="29">
        <v>633.5</v>
      </c>
      <c r="J256" s="29">
        <v>606.6</v>
      </c>
      <c r="K256" s="29">
        <v>606.6</v>
      </c>
      <c r="L256" s="30">
        <v>31</v>
      </c>
      <c r="M256" s="29">
        <f t="shared" si="36"/>
        <v>3831978.95</v>
      </c>
      <c r="N256" s="29">
        <v>0</v>
      </c>
      <c r="O256" s="29">
        <v>0</v>
      </c>
      <c r="P256" s="29">
        <v>0</v>
      </c>
      <c r="Q256" s="29">
        <f>'Таблица 3 '!C246</f>
        <v>3831978.95</v>
      </c>
      <c r="R256" s="29">
        <f t="shared" si="37"/>
        <v>3831978.95</v>
      </c>
      <c r="S256" s="29">
        <v>0</v>
      </c>
      <c r="T256" s="29">
        <f t="shared" si="24"/>
        <v>6317.1430102209033</v>
      </c>
      <c r="U256" s="29">
        <f t="shared" si="25"/>
        <v>6317.1430102209033</v>
      </c>
      <c r="V256" s="33" t="s">
        <v>45</v>
      </c>
    </row>
    <row r="257" spans="1:22" s="44" customFormat="1" ht="42.75" customHeight="1" x14ac:dyDescent="0.25">
      <c r="A257" s="25">
        <v>13</v>
      </c>
      <c r="B257" s="37" t="s">
        <v>340</v>
      </c>
      <c r="C257" s="25" t="s">
        <v>43</v>
      </c>
      <c r="D257" s="25">
        <v>1983</v>
      </c>
      <c r="E257" s="27" t="s">
        <v>39</v>
      </c>
      <c r="F257" s="25" t="s">
        <v>77</v>
      </c>
      <c r="G257" s="28">
        <v>2</v>
      </c>
      <c r="H257" s="28">
        <v>2</v>
      </c>
      <c r="I257" s="29">
        <v>807.2</v>
      </c>
      <c r="J257" s="29">
        <v>434.4</v>
      </c>
      <c r="K257" s="29">
        <v>434.4</v>
      </c>
      <c r="L257" s="30">
        <v>12</v>
      </c>
      <c r="M257" s="29">
        <f t="shared" si="36"/>
        <v>1990946.8299999998</v>
      </c>
      <c r="N257" s="29">
        <v>0</v>
      </c>
      <c r="O257" s="29">
        <v>0</v>
      </c>
      <c r="P257" s="29">
        <v>0</v>
      </c>
      <c r="Q257" s="29">
        <f>'Таблица 3 '!C247</f>
        <v>1990946.8299999998</v>
      </c>
      <c r="R257" s="29">
        <f t="shared" si="37"/>
        <v>1990946.8299999998</v>
      </c>
      <c r="S257" s="29">
        <v>0</v>
      </c>
      <c r="T257" s="29">
        <f t="shared" si="24"/>
        <v>4583.2109346224679</v>
      </c>
      <c r="U257" s="29">
        <f t="shared" si="25"/>
        <v>4583.2109346224679</v>
      </c>
      <c r="V257" s="33" t="s">
        <v>45</v>
      </c>
    </row>
    <row r="258" spans="1:22" s="44" customFormat="1" ht="42.75" customHeight="1" x14ac:dyDescent="0.25">
      <c r="A258" s="25">
        <v>14</v>
      </c>
      <c r="B258" s="37" t="s">
        <v>341</v>
      </c>
      <c r="C258" s="25" t="s">
        <v>43</v>
      </c>
      <c r="D258" s="25">
        <v>1991</v>
      </c>
      <c r="E258" s="27">
        <v>2024</v>
      </c>
      <c r="F258" s="25" t="s">
        <v>77</v>
      </c>
      <c r="G258" s="28">
        <v>5</v>
      </c>
      <c r="H258" s="28">
        <v>8</v>
      </c>
      <c r="I258" s="29">
        <v>5246.83</v>
      </c>
      <c r="J258" s="29">
        <v>4460.5</v>
      </c>
      <c r="K258" s="29">
        <v>4343.3</v>
      </c>
      <c r="L258" s="30">
        <v>176</v>
      </c>
      <c r="M258" s="29">
        <f t="shared" si="36"/>
        <v>729786</v>
      </c>
      <c r="N258" s="29">
        <v>0</v>
      </c>
      <c r="O258" s="29">
        <v>0</v>
      </c>
      <c r="P258" s="29">
        <v>0</v>
      </c>
      <c r="Q258" s="29">
        <f>'Таблица 3 '!C248</f>
        <v>729786</v>
      </c>
      <c r="R258" s="29">
        <f t="shared" si="37"/>
        <v>729786</v>
      </c>
      <c r="S258" s="29">
        <v>0</v>
      </c>
      <c r="T258" s="29">
        <f t="shared" si="24"/>
        <v>163.61080596345701</v>
      </c>
      <c r="U258" s="29">
        <f t="shared" si="25"/>
        <v>163.61080596345701</v>
      </c>
      <c r="V258" s="33" t="s">
        <v>45</v>
      </c>
    </row>
    <row r="259" spans="1:22" s="44" customFormat="1" ht="42.75" customHeight="1" x14ac:dyDescent="0.25">
      <c r="A259" s="25">
        <v>15</v>
      </c>
      <c r="B259" s="37" t="s">
        <v>342</v>
      </c>
      <c r="C259" s="25" t="s">
        <v>43</v>
      </c>
      <c r="D259" s="25">
        <v>1977</v>
      </c>
      <c r="E259" s="27" t="s">
        <v>39</v>
      </c>
      <c r="F259" s="25" t="s">
        <v>77</v>
      </c>
      <c r="G259" s="28">
        <v>2</v>
      </c>
      <c r="H259" s="28">
        <v>3</v>
      </c>
      <c r="I259" s="29">
        <v>885.9</v>
      </c>
      <c r="J259" s="29">
        <v>857.1</v>
      </c>
      <c r="K259" s="29">
        <v>857.1</v>
      </c>
      <c r="L259" s="30">
        <v>35</v>
      </c>
      <c r="M259" s="29">
        <f t="shared" si="36"/>
        <v>2874440.98</v>
      </c>
      <c r="N259" s="29">
        <v>0</v>
      </c>
      <c r="O259" s="29">
        <v>0</v>
      </c>
      <c r="P259" s="29">
        <v>0</v>
      </c>
      <c r="Q259" s="29">
        <f>'Таблица 3 '!C249</f>
        <v>2874440.98</v>
      </c>
      <c r="R259" s="29">
        <f t="shared" si="37"/>
        <v>2874440.98</v>
      </c>
      <c r="S259" s="29">
        <v>0</v>
      </c>
      <c r="T259" s="29">
        <f t="shared" si="24"/>
        <v>3353.6821607747052</v>
      </c>
      <c r="U259" s="29">
        <f t="shared" si="25"/>
        <v>3353.6821607747052</v>
      </c>
      <c r="V259" s="33" t="s">
        <v>45</v>
      </c>
    </row>
    <row r="260" spans="1:22" s="44" customFormat="1" ht="42.75" customHeight="1" x14ac:dyDescent="0.25">
      <c r="A260" s="25">
        <v>16</v>
      </c>
      <c r="B260" s="37" t="s">
        <v>343</v>
      </c>
      <c r="C260" s="25" t="s">
        <v>43</v>
      </c>
      <c r="D260" s="25">
        <v>1953</v>
      </c>
      <c r="E260" s="27" t="s">
        <v>39</v>
      </c>
      <c r="F260" s="25" t="s">
        <v>77</v>
      </c>
      <c r="G260" s="28">
        <v>2</v>
      </c>
      <c r="H260" s="28">
        <v>2</v>
      </c>
      <c r="I260" s="64">
        <v>856.7</v>
      </c>
      <c r="J260" s="64">
        <v>856.7</v>
      </c>
      <c r="K260" s="64">
        <v>856.7</v>
      </c>
      <c r="L260" s="64">
        <v>39</v>
      </c>
      <c r="M260" s="29">
        <f t="shared" si="36"/>
        <v>5990583.5</v>
      </c>
      <c r="N260" s="29">
        <v>0</v>
      </c>
      <c r="O260" s="29">
        <v>0</v>
      </c>
      <c r="P260" s="29">
        <v>0</v>
      </c>
      <c r="Q260" s="29">
        <f>'Таблица 3 '!C250</f>
        <v>5990583.5</v>
      </c>
      <c r="R260" s="29">
        <f t="shared" si="37"/>
        <v>5990583.5</v>
      </c>
      <c r="S260" s="29">
        <v>0</v>
      </c>
      <c r="T260" s="29">
        <f t="shared" si="24"/>
        <v>6992.6269405859694</v>
      </c>
      <c r="U260" s="29">
        <f t="shared" si="25"/>
        <v>6992.6269405859694</v>
      </c>
      <c r="V260" s="33" t="s">
        <v>45</v>
      </c>
    </row>
    <row r="261" spans="1:22" s="44" customFormat="1" ht="42.75" customHeight="1" x14ac:dyDescent="0.25">
      <c r="A261" s="25">
        <v>17</v>
      </c>
      <c r="B261" s="37" t="s">
        <v>344</v>
      </c>
      <c r="C261" s="25" t="s">
        <v>43</v>
      </c>
      <c r="D261" s="25">
        <v>1961</v>
      </c>
      <c r="E261" s="27" t="s">
        <v>39</v>
      </c>
      <c r="F261" s="25" t="s">
        <v>77</v>
      </c>
      <c r="G261" s="28">
        <v>2</v>
      </c>
      <c r="H261" s="28">
        <v>2</v>
      </c>
      <c r="I261" s="29">
        <v>669.88</v>
      </c>
      <c r="J261" s="29">
        <v>636.58000000000004</v>
      </c>
      <c r="K261" s="29">
        <v>636.58000000000004</v>
      </c>
      <c r="L261" s="30">
        <v>36</v>
      </c>
      <c r="M261" s="29">
        <f t="shared" si="36"/>
        <v>5229109.09</v>
      </c>
      <c r="N261" s="29">
        <v>0</v>
      </c>
      <c r="O261" s="29">
        <v>0</v>
      </c>
      <c r="P261" s="29">
        <v>0</v>
      </c>
      <c r="Q261" s="29">
        <f>'Таблица 3 '!C251</f>
        <v>5229109.09</v>
      </c>
      <c r="R261" s="29">
        <f t="shared" si="37"/>
        <v>5229109.09</v>
      </c>
      <c r="S261" s="29">
        <v>0</v>
      </c>
      <c r="T261" s="29">
        <f t="shared" si="24"/>
        <v>8214.378538439787</v>
      </c>
      <c r="U261" s="29">
        <f t="shared" si="25"/>
        <v>8214.378538439787</v>
      </c>
      <c r="V261" s="33" t="s">
        <v>45</v>
      </c>
    </row>
    <row r="262" spans="1:22" s="44" customFormat="1" ht="42.75" customHeight="1" x14ac:dyDescent="0.25">
      <c r="A262" s="25">
        <v>18</v>
      </c>
      <c r="B262" s="37" t="s">
        <v>345</v>
      </c>
      <c r="C262" s="65" t="s">
        <v>43</v>
      </c>
      <c r="D262" s="25">
        <v>1963</v>
      </c>
      <c r="E262" s="27" t="s">
        <v>39</v>
      </c>
      <c r="F262" s="25" t="s">
        <v>77</v>
      </c>
      <c r="G262" s="28">
        <v>2</v>
      </c>
      <c r="H262" s="28">
        <v>2</v>
      </c>
      <c r="I262" s="29">
        <v>715.48</v>
      </c>
      <c r="J262" s="29">
        <v>636.94000000000005</v>
      </c>
      <c r="K262" s="29">
        <v>636.94000000000005</v>
      </c>
      <c r="L262" s="30">
        <v>31</v>
      </c>
      <c r="M262" s="29">
        <f t="shared" si="36"/>
        <v>329641.2</v>
      </c>
      <c r="N262" s="29">
        <v>0</v>
      </c>
      <c r="O262" s="29">
        <v>0</v>
      </c>
      <c r="P262" s="29">
        <v>0</v>
      </c>
      <c r="Q262" s="29">
        <f>'Таблица 3 '!C252</f>
        <v>329641.2</v>
      </c>
      <c r="R262" s="29">
        <f t="shared" si="37"/>
        <v>329641.2</v>
      </c>
      <c r="S262" s="29">
        <v>0</v>
      </c>
      <c r="T262" s="29">
        <f t="shared" si="24"/>
        <v>517.53885766320218</v>
      </c>
      <c r="U262" s="29">
        <f t="shared" si="25"/>
        <v>517.53885766320218</v>
      </c>
      <c r="V262" s="33" t="s">
        <v>45</v>
      </c>
    </row>
    <row r="263" spans="1:22" s="44" customFormat="1" ht="42.75" customHeight="1" x14ac:dyDescent="0.25">
      <c r="A263" s="25">
        <v>19</v>
      </c>
      <c r="B263" s="37" t="s">
        <v>346</v>
      </c>
      <c r="C263" s="25" t="s">
        <v>43</v>
      </c>
      <c r="D263" s="25">
        <v>1997</v>
      </c>
      <c r="E263" s="27">
        <v>2019</v>
      </c>
      <c r="F263" s="25" t="s">
        <v>77</v>
      </c>
      <c r="G263" s="28">
        <v>5</v>
      </c>
      <c r="H263" s="28">
        <v>5</v>
      </c>
      <c r="I263" s="29">
        <v>6432.8</v>
      </c>
      <c r="J263" s="29">
        <v>6008.7</v>
      </c>
      <c r="K263" s="29">
        <v>5806.7</v>
      </c>
      <c r="L263" s="30">
        <v>263</v>
      </c>
      <c r="M263" s="29">
        <f t="shared" si="36"/>
        <v>432691.16000000003</v>
      </c>
      <c r="N263" s="29">
        <v>0</v>
      </c>
      <c r="O263" s="29">
        <v>0</v>
      </c>
      <c r="P263" s="29">
        <v>0</v>
      </c>
      <c r="Q263" s="29">
        <f>'Таблица 3 '!C253</f>
        <v>432691.16000000003</v>
      </c>
      <c r="R263" s="29">
        <f t="shared" si="37"/>
        <v>432691.16000000003</v>
      </c>
      <c r="S263" s="29">
        <v>0</v>
      </c>
      <c r="T263" s="29">
        <f t="shared" si="24"/>
        <v>72.010777705660132</v>
      </c>
      <c r="U263" s="29">
        <f>M263/J263</f>
        <v>72.010777705660132</v>
      </c>
      <c r="V263" s="33" t="s">
        <v>45</v>
      </c>
    </row>
    <row r="264" spans="1:22" s="44" customFormat="1" ht="42.75" customHeight="1" x14ac:dyDescent="0.25">
      <c r="A264" s="25">
        <v>20</v>
      </c>
      <c r="B264" s="37" t="s">
        <v>347</v>
      </c>
      <c r="C264" s="65" t="s">
        <v>43</v>
      </c>
      <c r="D264" s="25">
        <v>1968</v>
      </c>
      <c r="E264" s="27" t="s">
        <v>40</v>
      </c>
      <c r="F264" s="25" t="s">
        <v>77</v>
      </c>
      <c r="G264" s="28">
        <v>2</v>
      </c>
      <c r="H264" s="28">
        <v>2</v>
      </c>
      <c r="I264" s="32">
        <v>680.6</v>
      </c>
      <c r="J264" s="32">
        <v>637.6</v>
      </c>
      <c r="K264" s="32">
        <v>339.1</v>
      </c>
      <c r="L264" s="35">
        <v>22</v>
      </c>
      <c r="M264" s="29">
        <f t="shared" si="36"/>
        <v>1959657.96</v>
      </c>
      <c r="N264" s="29">
        <v>0</v>
      </c>
      <c r="O264" s="29">
        <v>0</v>
      </c>
      <c r="P264" s="29">
        <v>0</v>
      </c>
      <c r="Q264" s="29">
        <f>'Таблица 3 '!C254</f>
        <v>1959657.96</v>
      </c>
      <c r="R264" s="29">
        <f t="shared" si="37"/>
        <v>1959657.96</v>
      </c>
      <c r="S264" s="29">
        <v>0</v>
      </c>
      <c r="T264" s="29">
        <f t="shared" si="24"/>
        <v>3073.4911543287326</v>
      </c>
      <c r="U264" s="29">
        <f t="shared" si="25"/>
        <v>3073.4911543287326</v>
      </c>
      <c r="V264" s="33" t="s">
        <v>45</v>
      </c>
    </row>
    <row r="265" spans="1:22" s="44" customFormat="1" ht="42.75" customHeight="1" x14ac:dyDescent="0.25">
      <c r="A265" s="25">
        <v>21</v>
      </c>
      <c r="B265" s="38" t="s">
        <v>348</v>
      </c>
      <c r="C265" s="65" t="s">
        <v>43</v>
      </c>
      <c r="D265" s="25">
        <v>1980</v>
      </c>
      <c r="E265" s="27" t="s">
        <v>39</v>
      </c>
      <c r="F265" s="25" t="s">
        <v>77</v>
      </c>
      <c r="G265" s="28">
        <v>3</v>
      </c>
      <c r="H265" s="28">
        <v>3</v>
      </c>
      <c r="I265" s="29">
        <v>1144.5</v>
      </c>
      <c r="J265" s="29">
        <v>1043.8</v>
      </c>
      <c r="K265" s="29">
        <v>987.4</v>
      </c>
      <c r="L265" s="30">
        <v>60</v>
      </c>
      <c r="M265" s="29">
        <f t="shared" si="36"/>
        <v>1595848.32</v>
      </c>
      <c r="N265" s="29">
        <v>0</v>
      </c>
      <c r="O265" s="29">
        <v>0</v>
      </c>
      <c r="P265" s="29">
        <v>0</v>
      </c>
      <c r="Q265" s="29">
        <f>'Таблица 3 '!C255</f>
        <v>1595848.32</v>
      </c>
      <c r="R265" s="29">
        <f t="shared" si="37"/>
        <v>1595848.32</v>
      </c>
      <c r="S265" s="29">
        <v>0</v>
      </c>
      <c r="T265" s="29">
        <f t="shared" si="24"/>
        <v>1528.8832343360798</v>
      </c>
      <c r="U265" s="29">
        <f t="shared" si="25"/>
        <v>1528.8832343360798</v>
      </c>
      <c r="V265" s="33" t="s">
        <v>45</v>
      </c>
    </row>
    <row r="266" spans="1:22" s="44" customFormat="1" ht="24.6" customHeight="1" x14ac:dyDescent="0.25">
      <c r="A266" s="322" t="s">
        <v>349</v>
      </c>
      <c r="B266" s="322"/>
      <c r="C266" s="18" t="s">
        <v>39</v>
      </c>
      <c r="D266" s="18" t="s">
        <v>39</v>
      </c>
      <c r="E266" s="19" t="s">
        <v>39</v>
      </c>
      <c r="F266" s="18" t="s">
        <v>39</v>
      </c>
      <c r="G266" s="20" t="s">
        <v>39</v>
      </c>
      <c r="H266" s="20" t="s">
        <v>39</v>
      </c>
      <c r="I266" s="66">
        <f t="shared" ref="I266:S266" si="38">I267</f>
        <v>555.1</v>
      </c>
      <c r="J266" s="66">
        <f t="shared" si="38"/>
        <v>498</v>
      </c>
      <c r="K266" s="66">
        <f t="shared" si="38"/>
        <v>498</v>
      </c>
      <c r="L266" s="67">
        <f t="shared" si="38"/>
        <v>24</v>
      </c>
      <c r="M266" s="66">
        <f t="shared" si="38"/>
        <v>200729.9</v>
      </c>
      <c r="N266" s="66">
        <f t="shared" si="38"/>
        <v>0</v>
      </c>
      <c r="O266" s="66">
        <f t="shared" si="38"/>
        <v>0</v>
      </c>
      <c r="P266" s="66">
        <f t="shared" si="38"/>
        <v>0</v>
      </c>
      <c r="Q266" s="66">
        <f t="shared" si="38"/>
        <v>200729.9</v>
      </c>
      <c r="R266" s="66">
        <f t="shared" si="38"/>
        <v>200729.9</v>
      </c>
      <c r="S266" s="66">
        <f t="shared" si="38"/>
        <v>0</v>
      </c>
      <c r="T266" s="24" t="s">
        <v>39</v>
      </c>
      <c r="U266" s="24" t="s">
        <v>39</v>
      </c>
      <c r="V266" s="59" t="s">
        <v>39</v>
      </c>
    </row>
    <row r="267" spans="1:22" s="44" customFormat="1" ht="42" customHeight="1" x14ac:dyDescent="0.25">
      <c r="A267" s="25">
        <v>1</v>
      </c>
      <c r="B267" s="37" t="s">
        <v>350</v>
      </c>
      <c r="C267" s="25" t="s">
        <v>43</v>
      </c>
      <c r="D267" s="25">
        <v>1975</v>
      </c>
      <c r="E267" s="27" t="s">
        <v>40</v>
      </c>
      <c r="F267" s="25" t="s">
        <v>44</v>
      </c>
      <c r="G267" s="28">
        <v>2</v>
      </c>
      <c r="H267" s="28">
        <v>2</v>
      </c>
      <c r="I267" s="32">
        <v>555.1</v>
      </c>
      <c r="J267" s="32">
        <v>498</v>
      </c>
      <c r="K267" s="32">
        <v>498</v>
      </c>
      <c r="L267" s="35">
        <v>24</v>
      </c>
      <c r="M267" s="31">
        <f>SUM(N267:Q267)</f>
        <v>200729.9</v>
      </c>
      <c r="N267" s="29">
        <v>0</v>
      </c>
      <c r="O267" s="29">
        <v>0</v>
      </c>
      <c r="P267" s="29">
        <v>0</v>
      </c>
      <c r="Q267" s="31">
        <f>'Таблица 3 '!C257</f>
        <v>200729.9</v>
      </c>
      <c r="R267" s="29">
        <f>Q267</f>
        <v>200729.9</v>
      </c>
      <c r="S267" s="29">
        <v>0</v>
      </c>
      <c r="T267" s="29">
        <f t="shared" si="24"/>
        <v>403.07208835341362</v>
      </c>
      <c r="U267" s="29">
        <f t="shared" si="25"/>
        <v>403.07208835341362</v>
      </c>
      <c r="V267" s="68" t="s">
        <v>45</v>
      </c>
    </row>
    <row r="268" spans="1:22" s="23" customFormat="1" ht="28.5" customHeight="1" x14ac:dyDescent="0.2">
      <c r="A268" s="322" t="s">
        <v>351</v>
      </c>
      <c r="B268" s="322"/>
      <c r="C268" s="20" t="s">
        <v>40</v>
      </c>
      <c r="D268" s="20" t="s">
        <v>40</v>
      </c>
      <c r="E268" s="62" t="s">
        <v>40</v>
      </c>
      <c r="F268" s="20" t="s">
        <v>40</v>
      </c>
      <c r="G268" s="20" t="s">
        <v>40</v>
      </c>
      <c r="H268" s="20" t="s">
        <v>40</v>
      </c>
      <c r="I268" s="66">
        <f t="shared" ref="I268:S268" si="39">SUM(I269:I275)</f>
        <v>14777.3</v>
      </c>
      <c r="J268" s="66">
        <f t="shared" si="39"/>
        <v>13149.600000000002</v>
      </c>
      <c r="K268" s="66">
        <f t="shared" si="39"/>
        <v>10609</v>
      </c>
      <c r="L268" s="67">
        <f t="shared" si="39"/>
        <v>414</v>
      </c>
      <c r="M268" s="66">
        <f t="shared" si="39"/>
        <v>15274966.289999999</v>
      </c>
      <c r="N268" s="66">
        <f t="shared" si="39"/>
        <v>0</v>
      </c>
      <c r="O268" s="66">
        <f t="shared" si="39"/>
        <v>0</v>
      </c>
      <c r="P268" s="66">
        <f t="shared" si="39"/>
        <v>0</v>
      </c>
      <c r="Q268" s="66">
        <f t="shared" si="39"/>
        <v>15274966.289999999</v>
      </c>
      <c r="R268" s="66">
        <f t="shared" si="39"/>
        <v>15274966.289999999</v>
      </c>
      <c r="S268" s="66">
        <f t="shared" si="39"/>
        <v>0</v>
      </c>
      <c r="T268" s="24" t="s">
        <v>40</v>
      </c>
      <c r="U268" s="24" t="s">
        <v>40</v>
      </c>
      <c r="V268" s="20" t="s">
        <v>40</v>
      </c>
    </row>
    <row r="269" spans="1:22" s="23" customFormat="1" ht="42.75" customHeight="1" x14ac:dyDescent="0.25">
      <c r="A269" s="25">
        <v>1</v>
      </c>
      <c r="B269" s="69" t="s">
        <v>352</v>
      </c>
      <c r="C269" s="25" t="s">
        <v>43</v>
      </c>
      <c r="D269" s="63">
        <v>1987</v>
      </c>
      <c r="E269" s="63" t="s">
        <v>353</v>
      </c>
      <c r="F269" s="25" t="s">
        <v>77</v>
      </c>
      <c r="G269" s="28">
        <v>3</v>
      </c>
      <c r="H269" s="28">
        <v>1</v>
      </c>
      <c r="I269" s="29">
        <v>557</v>
      </c>
      <c r="J269" s="29">
        <v>495.4</v>
      </c>
      <c r="K269" s="29">
        <v>495.4</v>
      </c>
      <c r="L269" s="30">
        <v>11</v>
      </c>
      <c r="M269" s="31">
        <f t="shared" ref="M269:M275" si="40">SUM(N269:Q269)</f>
        <v>1995495.65</v>
      </c>
      <c r="N269" s="31">
        <v>0</v>
      </c>
      <c r="O269" s="31">
        <v>0</v>
      </c>
      <c r="P269" s="31">
        <v>0</v>
      </c>
      <c r="Q269" s="31">
        <f>'Таблица 3 '!C259</f>
        <v>1995495.65</v>
      </c>
      <c r="R269" s="29">
        <f t="shared" ref="R269:R275" si="41">Q269</f>
        <v>1995495.65</v>
      </c>
      <c r="S269" s="29">
        <v>0</v>
      </c>
      <c r="T269" s="29">
        <f t="shared" si="24"/>
        <v>4028.0493540573275</v>
      </c>
      <c r="U269" s="29">
        <f t="shared" si="25"/>
        <v>4028.0493540573275</v>
      </c>
      <c r="V269" s="33" t="s">
        <v>45</v>
      </c>
    </row>
    <row r="270" spans="1:22" s="44" customFormat="1" ht="45" x14ac:dyDescent="0.25">
      <c r="A270" s="28">
        <v>2</v>
      </c>
      <c r="B270" s="69" t="s">
        <v>354</v>
      </c>
      <c r="C270" s="25" t="s">
        <v>43</v>
      </c>
      <c r="D270" s="28">
        <v>1994</v>
      </c>
      <c r="E270" s="63">
        <v>2023</v>
      </c>
      <c r="F270" s="25" t="s">
        <v>77</v>
      </c>
      <c r="G270" s="28">
        <v>5</v>
      </c>
      <c r="H270" s="28">
        <v>6</v>
      </c>
      <c r="I270" s="29">
        <v>4739</v>
      </c>
      <c r="J270" s="29">
        <v>4196.2</v>
      </c>
      <c r="K270" s="29">
        <v>4027.3</v>
      </c>
      <c r="L270" s="30">
        <v>152</v>
      </c>
      <c r="M270" s="31">
        <f t="shared" si="40"/>
        <v>4677443.67</v>
      </c>
      <c r="N270" s="31">
        <v>0</v>
      </c>
      <c r="O270" s="31">
        <v>0</v>
      </c>
      <c r="P270" s="31">
        <v>0</v>
      </c>
      <c r="Q270" s="31">
        <f>'Таблица 3 '!C260</f>
        <v>4677443.67</v>
      </c>
      <c r="R270" s="29">
        <f t="shared" si="41"/>
        <v>4677443.67</v>
      </c>
      <c r="S270" s="29">
        <v>0</v>
      </c>
      <c r="T270" s="29">
        <f t="shared" si="24"/>
        <v>1114.6855893427387</v>
      </c>
      <c r="U270" s="29">
        <f t="shared" si="25"/>
        <v>1114.6855893427387</v>
      </c>
      <c r="V270" s="33" t="s">
        <v>45</v>
      </c>
    </row>
    <row r="271" spans="1:22" s="44" customFormat="1" ht="45" x14ac:dyDescent="0.25">
      <c r="A271" s="25">
        <v>3</v>
      </c>
      <c r="B271" s="70" t="s">
        <v>355</v>
      </c>
      <c r="C271" s="25" t="s">
        <v>43</v>
      </c>
      <c r="D271" s="63">
        <v>1977</v>
      </c>
      <c r="E271" s="63">
        <v>2025</v>
      </c>
      <c r="F271" s="25" t="s">
        <v>77</v>
      </c>
      <c r="G271" s="28">
        <v>2</v>
      </c>
      <c r="H271" s="28">
        <v>2</v>
      </c>
      <c r="I271" s="29">
        <v>792.5</v>
      </c>
      <c r="J271" s="29">
        <v>727.5</v>
      </c>
      <c r="K271" s="29">
        <v>727.5</v>
      </c>
      <c r="L271" s="30">
        <v>26</v>
      </c>
      <c r="M271" s="31">
        <f t="shared" si="40"/>
        <v>685344</v>
      </c>
      <c r="N271" s="31">
        <v>0</v>
      </c>
      <c r="O271" s="31">
        <v>0</v>
      </c>
      <c r="P271" s="31">
        <v>0</v>
      </c>
      <c r="Q271" s="31">
        <f>'Таблица 3 '!C261</f>
        <v>685344</v>
      </c>
      <c r="R271" s="29">
        <f t="shared" si="41"/>
        <v>685344</v>
      </c>
      <c r="S271" s="29">
        <v>0</v>
      </c>
      <c r="T271" s="29">
        <f t="shared" si="24"/>
        <v>942.05360824742263</v>
      </c>
      <c r="U271" s="29">
        <f t="shared" si="25"/>
        <v>942.05360824742263</v>
      </c>
      <c r="V271" s="33" t="s">
        <v>45</v>
      </c>
    </row>
    <row r="272" spans="1:22" s="44" customFormat="1" ht="45" x14ac:dyDescent="0.25">
      <c r="A272" s="28">
        <v>4</v>
      </c>
      <c r="B272" s="69" t="s">
        <v>356</v>
      </c>
      <c r="C272" s="25" t="s">
        <v>43</v>
      </c>
      <c r="D272" s="28">
        <v>1974</v>
      </c>
      <c r="E272" s="63" t="s">
        <v>40</v>
      </c>
      <c r="F272" s="25" t="s">
        <v>77</v>
      </c>
      <c r="G272" s="28">
        <v>2</v>
      </c>
      <c r="H272" s="28">
        <v>2</v>
      </c>
      <c r="I272" s="29">
        <v>782</v>
      </c>
      <c r="J272" s="29">
        <v>726.3</v>
      </c>
      <c r="K272" s="29">
        <v>685.8</v>
      </c>
      <c r="L272" s="30">
        <v>29</v>
      </c>
      <c r="M272" s="31">
        <f t="shared" si="40"/>
        <v>198195.53</v>
      </c>
      <c r="N272" s="31">
        <v>0</v>
      </c>
      <c r="O272" s="31">
        <v>0</v>
      </c>
      <c r="P272" s="31">
        <v>0</v>
      </c>
      <c r="Q272" s="31">
        <f>'Таблица 3 '!C262</f>
        <v>198195.53</v>
      </c>
      <c r="R272" s="29">
        <f t="shared" si="41"/>
        <v>198195.53</v>
      </c>
      <c r="S272" s="29">
        <v>0</v>
      </c>
      <c r="T272" s="29">
        <f t="shared" si="24"/>
        <v>272.88383588049015</v>
      </c>
      <c r="U272" s="29">
        <f t="shared" si="25"/>
        <v>272.88383588049015</v>
      </c>
      <c r="V272" s="33" t="s">
        <v>45</v>
      </c>
    </row>
    <row r="273" spans="1:22" s="44" customFormat="1" ht="45" x14ac:dyDescent="0.25">
      <c r="A273" s="25">
        <v>5</v>
      </c>
      <c r="B273" s="69" t="s">
        <v>357</v>
      </c>
      <c r="C273" s="25" t="s">
        <v>43</v>
      </c>
      <c r="D273" s="28">
        <v>1995</v>
      </c>
      <c r="E273" s="63">
        <v>2023</v>
      </c>
      <c r="F273" s="25" t="s">
        <v>77</v>
      </c>
      <c r="G273" s="28">
        <v>5</v>
      </c>
      <c r="H273" s="28">
        <v>5</v>
      </c>
      <c r="I273" s="29">
        <v>4227.6000000000004</v>
      </c>
      <c r="J273" s="29">
        <v>4294.3</v>
      </c>
      <c r="K273" s="29">
        <v>3422.1</v>
      </c>
      <c r="L273" s="30">
        <v>135</v>
      </c>
      <c r="M273" s="31">
        <f t="shared" si="40"/>
        <v>4176292.08</v>
      </c>
      <c r="N273" s="31">
        <v>0</v>
      </c>
      <c r="O273" s="31">
        <v>0</v>
      </c>
      <c r="P273" s="31">
        <v>0</v>
      </c>
      <c r="Q273" s="31">
        <f>'Таблица 3 '!C263</f>
        <v>4176292.08</v>
      </c>
      <c r="R273" s="29">
        <f t="shared" si="41"/>
        <v>4176292.08</v>
      </c>
      <c r="S273" s="29">
        <v>0</v>
      </c>
      <c r="T273" s="29">
        <f t="shared" si="24"/>
        <v>972.51987052604613</v>
      </c>
      <c r="U273" s="29">
        <f t="shared" si="25"/>
        <v>972.51987052604613</v>
      </c>
      <c r="V273" s="33" t="s">
        <v>45</v>
      </c>
    </row>
    <row r="274" spans="1:22" s="44" customFormat="1" ht="45" x14ac:dyDescent="0.25">
      <c r="A274" s="28">
        <v>6</v>
      </c>
      <c r="B274" s="69" t="s">
        <v>358</v>
      </c>
      <c r="C274" s="25" t="s">
        <v>43</v>
      </c>
      <c r="D274" s="28">
        <v>1987</v>
      </c>
      <c r="E274" s="63">
        <v>2025</v>
      </c>
      <c r="F274" s="25" t="s">
        <v>77</v>
      </c>
      <c r="G274" s="28">
        <v>5</v>
      </c>
      <c r="H274" s="28">
        <v>5</v>
      </c>
      <c r="I274" s="29">
        <v>1843.9</v>
      </c>
      <c r="J274" s="29">
        <v>1363.2</v>
      </c>
      <c r="K274" s="29">
        <v>1218.4000000000001</v>
      </c>
      <c r="L274" s="30">
        <v>31</v>
      </c>
      <c r="M274" s="31">
        <f t="shared" si="40"/>
        <v>1374617.88</v>
      </c>
      <c r="N274" s="31">
        <v>0</v>
      </c>
      <c r="O274" s="31">
        <v>0</v>
      </c>
      <c r="P274" s="31">
        <v>0</v>
      </c>
      <c r="Q274" s="31">
        <f>'Таблица 3 '!C264</f>
        <v>1374617.88</v>
      </c>
      <c r="R274" s="29">
        <f t="shared" si="41"/>
        <v>1374617.88</v>
      </c>
      <c r="S274" s="29">
        <v>0</v>
      </c>
      <c r="T274" s="29">
        <f t="shared" si="24"/>
        <v>1008.375792253521</v>
      </c>
      <c r="U274" s="29">
        <f t="shared" si="25"/>
        <v>1008.375792253521</v>
      </c>
      <c r="V274" s="33" t="s">
        <v>45</v>
      </c>
    </row>
    <row r="275" spans="1:22" s="44" customFormat="1" ht="45" x14ac:dyDescent="0.25">
      <c r="A275" s="25">
        <v>7</v>
      </c>
      <c r="B275" s="70" t="s">
        <v>359</v>
      </c>
      <c r="C275" s="25" t="s">
        <v>43</v>
      </c>
      <c r="D275" s="63">
        <v>1994</v>
      </c>
      <c r="E275" s="63">
        <v>2021</v>
      </c>
      <c r="F275" s="25" t="s">
        <v>77</v>
      </c>
      <c r="G275" s="28">
        <v>5</v>
      </c>
      <c r="H275" s="28">
        <v>2</v>
      </c>
      <c r="I275" s="29">
        <v>1835.3</v>
      </c>
      <c r="J275" s="29">
        <v>1346.7</v>
      </c>
      <c r="K275" s="29">
        <v>32.5</v>
      </c>
      <c r="L275" s="30">
        <v>30</v>
      </c>
      <c r="M275" s="31">
        <f t="shared" si="40"/>
        <v>2167577.48</v>
      </c>
      <c r="N275" s="31">
        <v>0</v>
      </c>
      <c r="O275" s="31">
        <v>0</v>
      </c>
      <c r="P275" s="31">
        <v>0</v>
      </c>
      <c r="Q275" s="31">
        <f>'Таблица 3 '!C265</f>
        <v>2167577.48</v>
      </c>
      <c r="R275" s="29">
        <f t="shared" si="41"/>
        <v>2167577.48</v>
      </c>
      <c r="S275" s="29">
        <v>0</v>
      </c>
      <c r="T275" s="29">
        <f t="shared" si="24"/>
        <v>1609.5473973416499</v>
      </c>
      <c r="U275" s="29">
        <f t="shared" si="25"/>
        <v>1609.5473973416499</v>
      </c>
      <c r="V275" s="33" t="s">
        <v>45</v>
      </c>
    </row>
    <row r="276" spans="1:22" s="23" customFormat="1" ht="27.6" customHeight="1" x14ac:dyDescent="0.2">
      <c r="A276" s="322" t="s">
        <v>360</v>
      </c>
      <c r="B276" s="322"/>
      <c r="C276" s="20" t="s">
        <v>39</v>
      </c>
      <c r="D276" s="20" t="s">
        <v>39</v>
      </c>
      <c r="E276" s="62" t="s">
        <v>39</v>
      </c>
      <c r="F276" s="20" t="s">
        <v>39</v>
      </c>
      <c r="G276" s="20" t="s">
        <v>39</v>
      </c>
      <c r="H276" s="20" t="s">
        <v>39</v>
      </c>
      <c r="I276" s="60">
        <f t="shared" ref="I276:S276" si="42">SUM(I277:I278)</f>
        <v>5936.5</v>
      </c>
      <c r="J276" s="60">
        <f t="shared" si="42"/>
        <v>5114.6000000000004</v>
      </c>
      <c r="K276" s="60">
        <f t="shared" si="42"/>
        <v>4944.2</v>
      </c>
      <c r="L276" s="61">
        <f t="shared" si="42"/>
        <v>224</v>
      </c>
      <c r="M276" s="60">
        <f t="shared" si="42"/>
        <v>1025320.6000000001</v>
      </c>
      <c r="N276" s="60">
        <f t="shared" si="42"/>
        <v>0</v>
      </c>
      <c r="O276" s="60">
        <f t="shared" si="42"/>
        <v>0</v>
      </c>
      <c r="P276" s="60">
        <f t="shared" si="42"/>
        <v>0</v>
      </c>
      <c r="Q276" s="60">
        <f t="shared" si="42"/>
        <v>1025320.6000000001</v>
      </c>
      <c r="R276" s="60">
        <f t="shared" si="42"/>
        <v>1025320.6000000001</v>
      </c>
      <c r="S276" s="60">
        <f t="shared" si="42"/>
        <v>0</v>
      </c>
      <c r="T276" s="24" t="s">
        <v>39</v>
      </c>
      <c r="U276" s="24" t="s">
        <v>39</v>
      </c>
      <c r="V276" s="20" t="s">
        <v>39</v>
      </c>
    </row>
    <row r="277" spans="1:22" s="44" customFormat="1" ht="42" customHeight="1" x14ac:dyDescent="0.25">
      <c r="A277" s="25">
        <v>1</v>
      </c>
      <c r="B277" s="71" t="s">
        <v>361</v>
      </c>
      <c r="C277" s="25" t="s">
        <v>43</v>
      </c>
      <c r="D277" s="25">
        <v>1989</v>
      </c>
      <c r="E277" s="27" t="s">
        <v>40</v>
      </c>
      <c r="F277" s="25" t="s">
        <v>48</v>
      </c>
      <c r="G277" s="28">
        <v>5</v>
      </c>
      <c r="H277" s="28">
        <v>3</v>
      </c>
      <c r="I277" s="29">
        <v>3689</v>
      </c>
      <c r="J277" s="29">
        <v>3331.5</v>
      </c>
      <c r="K277" s="29">
        <v>3308</v>
      </c>
      <c r="L277" s="30">
        <v>105</v>
      </c>
      <c r="M277" s="29">
        <f t="shared" ref="M277:M278" si="43">SUM(N277:Q277)</f>
        <v>454128.08</v>
      </c>
      <c r="N277" s="29">
        <v>0</v>
      </c>
      <c r="O277" s="29">
        <v>0</v>
      </c>
      <c r="P277" s="29">
        <v>0</v>
      </c>
      <c r="Q277" s="29">
        <f>'Таблица 3 '!C267</f>
        <v>454128.08</v>
      </c>
      <c r="R277" s="29">
        <f t="shared" ref="R277:R278" si="44">Q277</f>
        <v>454128.08</v>
      </c>
      <c r="S277" s="29">
        <v>0</v>
      </c>
      <c r="T277" s="29">
        <f t="shared" ref="T277:T340" si="45">M277/J277</f>
        <v>136.3133963680024</v>
      </c>
      <c r="U277" s="29">
        <f t="shared" ref="U277:U340" si="46">T277</f>
        <v>136.3133963680024</v>
      </c>
      <c r="V277" s="33" t="s">
        <v>45</v>
      </c>
    </row>
    <row r="278" spans="1:22" s="44" customFormat="1" ht="42" customHeight="1" x14ac:dyDescent="0.25">
      <c r="A278" s="25">
        <v>2</v>
      </c>
      <c r="B278" s="71" t="s">
        <v>362</v>
      </c>
      <c r="C278" s="25" t="s">
        <v>43</v>
      </c>
      <c r="D278" s="25">
        <v>1990</v>
      </c>
      <c r="E278" s="27" t="s">
        <v>39</v>
      </c>
      <c r="F278" s="25" t="s">
        <v>48</v>
      </c>
      <c r="G278" s="28">
        <v>4</v>
      </c>
      <c r="H278" s="28">
        <v>4</v>
      </c>
      <c r="I278" s="29">
        <v>2247.5</v>
      </c>
      <c r="J278" s="29">
        <v>1783.1</v>
      </c>
      <c r="K278" s="29">
        <v>1636.2</v>
      </c>
      <c r="L278" s="30">
        <v>119</v>
      </c>
      <c r="M278" s="29">
        <f t="shared" si="43"/>
        <v>571192.52</v>
      </c>
      <c r="N278" s="29">
        <v>0</v>
      </c>
      <c r="O278" s="29">
        <v>0</v>
      </c>
      <c r="P278" s="29">
        <v>0</v>
      </c>
      <c r="Q278" s="29">
        <f>'Таблица 3 '!C268</f>
        <v>571192.52</v>
      </c>
      <c r="R278" s="29">
        <f t="shared" si="44"/>
        <v>571192.52</v>
      </c>
      <c r="S278" s="29">
        <v>0</v>
      </c>
      <c r="T278" s="29">
        <f t="shared" si="45"/>
        <v>320.33678425214515</v>
      </c>
      <c r="U278" s="29">
        <f t="shared" si="46"/>
        <v>320.33678425214515</v>
      </c>
      <c r="V278" s="33" t="s">
        <v>45</v>
      </c>
    </row>
    <row r="279" spans="1:22" s="44" customFormat="1" ht="28.15" customHeight="1" x14ac:dyDescent="0.25">
      <c r="A279" s="326" t="s">
        <v>363</v>
      </c>
      <c r="B279" s="326"/>
      <c r="C279" s="18" t="s">
        <v>39</v>
      </c>
      <c r="D279" s="18" t="s">
        <v>39</v>
      </c>
      <c r="E279" s="19" t="s">
        <v>39</v>
      </c>
      <c r="F279" s="18" t="s">
        <v>39</v>
      </c>
      <c r="G279" s="18" t="s">
        <v>39</v>
      </c>
      <c r="H279" s="18" t="s">
        <v>39</v>
      </c>
      <c r="I279" s="60">
        <f t="shared" ref="I279:S279" si="47">SUM(I280:I294)</f>
        <v>28248</v>
      </c>
      <c r="J279" s="60">
        <f t="shared" si="47"/>
        <v>23354.940000000006</v>
      </c>
      <c r="K279" s="60">
        <f t="shared" si="47"/>
        <v>23097.170000000006</v>
      </c>
      <c r="L279" s="61">
        <f t="shared" si="47"/>
        <v>785</v>
      </c>
      <c r="M279" s="60">
        <f t="shared" si="47"/>
        <v>45698775.029999994</v>
      </c>
      <c r="N279" s="60">
        <f t="shared" si="47"/>
        <v>0</v>
      </c>
      <c r="O279" s="60">
        <f t="shared" si="47"/>
        <v>0</v>
      </c>
      <c r="P279" s="60">
        <f t="shared" si="47"/>
        <v>0</v>
      </c>
      <c r="Q279" s="60">
        <f t="shared" si="47"/>
        <v>45698775.029999994</v>
      </c>
      <c r="R279" s="60">
        <f t="shared" si="47"/>
        <v>45698775.029999994</v>
      </c>
      <c r="S279" s="60">
        <f t="shared" si="47"/>
        <v>0</v>
      </c>
      <c r="T279" s="24" t="s">
        <v>39</v>
      </c>
      <c r="U279" s="24" t="s">
        <v>39</v>
      </c>
      <c r="V279" s="20" t="s">
        <v>39</v>
      </c>
    </row>
    <row r="280" spans="1:22" s="44" customFormat="1" ht="45" x14ac:dyDescent="0.25">
      <c r="A280" s="28">
        <v>1</v>
      </c>
      <c r="B280" s="64" t="s">
        <v>364</v>
      </c>
      <c r="C280" s="25" t="s">
        <v>43</v>
      </c>
      <c r="D280" s="27" t="s">
        <v>137</v>
      </c>
      <c r="E280" s="63">
        <v>2018</v>
      </c>
      <c r="F280" s="25" t="s">
        <v>77</v>
      </c>
      <c r="G280" s="28">
        <v>4</v>
      </c>
      <c r="H280" s="28">
        <v>3</v>
      </c>
      <c r="I280" s="42">
        <v>2597</v>
      </c>
      <c r="J280" s="29">
        <v>2402.8200000000002</v>
      </c>
      <c r="K280" s="29">
        <v>2402.8200000000002</v>
      </c>
      <c r="L280" s="30">
        <v>61</v>
      </c>
      <c r="M280" s="31">
        <f t="shared" ref="M280:M294" si="48">SUM(N280:Q280)</f>
        <v>272620.95</v>
      </c>
      <c r="N280" s="29">
        <v>0</v>
      </c>
      <c r="O280" s="29">
        <v>0</v>
      </c>
      <c r="P280" s="29">
        <v>0</v>
      </c>
      <c r="Q280" s="29">
        <f>'Таблица 3 '!C270</f>
        <v>272620.95</v>
      </c>
      <c r="R280" s="29">
        <f t="shared" ref="R280:R294" si="49">Q280</f>
        <v>272620.95</v>
      </c>
      <c r="S280" s="29">
        <v>0</v>
      </c>
      <c r="T280" s="29">
        <f t="shared" si="45"/>
        <v>113.45874847054711</v>
      </c>
      <c r="U280" s="29">
        <f t="shared" si="46"/>
        <v>113.45874847054711</v>
      </c>
      <c r="V280" s="33" t="s">
        <v>45</v>
      </c>
    </row>
    <row r="281" spans="1:22" s="44" customFormat="1" ht="45" x14ac:dyDescent="0.25">
      <c r="A281" s="28">
        <v>2</v>
      </c>
      <c r="B281" s="64" t="s">
        <v>365</v>
      </c>
      <c r="C281" s="25" t="s">
        <v>43</v>
      </c>
      <c r="D281" s="27" t="s">
        <v>366</v>
      </c>
      <c r="E281" s="63">
        <v>2018</v>
      </c>
      <c r="F281" s="25" t="s">
        <v>77</v>
      </c>
      <c r="G281" s="28">
        <v>4</v>
      </c>
      <c r="H281" s="28">
        <v>3</v>
      </c>
      <c r="I281" s="42">
        <v>2785.69</v>
      </c>
      <c r="J281" s="29">
        <v>2489.12</v>
      </c>
      <c r="K281" s="29">
        <v>2489.12</v>
      </c>
      <c r="L281" s="30">
        <v>69</v>
      </c>
      <c r="M281" s="31">
        <f t="shared" si="48"/>
        <v>1369966.8</v>
      </c>
      <c r="N281" s="29">
        <v>0</v>
      </c>
      <c r="O281" s="29">
        <v>0</v>
      </c>
      <c r="P281" s="29">
        <v>0</v>
      </c>
      <c r="Q281" s="29">
        <f>'Таблица 3 '!C271</f>
        <v>1369966.8</v>
      </c>
      <c r="R281" s="29">
        <f t="shared" si="49"/>
        <v>1369966.8</v>
      </c>
      <c r="S281" s="29">
        <v>0</v>
      </c>
      <c r="T281" s="29">
        <f t="shared" si="45"/>
        <v>550.38198238734981</v>
      </c>
      <c r="U281" s="29">
        <f t="shared" si="46"/>
        <v>550.38198238734981</v>
      </c>
      <c r="V281" s="33" t="s">
        <v>45</v>
      </c>
    </row>
    <row r="282" spans="1:22" s="44" customFormat="1" ht="45" x14ac:dyDescent="0.25">
      <c r="A282" s="28">
        <v>3</v>
      </c>
      <c r="B282" s="64" t="s">
        <v>367</v>
      </c>
      <c r="C282" s="25" t="s">
        <v>43</v>
      </c>
      <c r="D282" s="27" t="s">
        <v>219</v>
      </c>
      <c r="E282" s="63">
        <v>2017</v>
      </c>
      <c r="F282" s="25" t="s">
        <v>77</v>
      </c>
      <c r="G282" s="28">
        <v>2</v>
      </c>
      <c r="H282" s="28">
        <v>1</v>
      </c>
      <c r="I282" s="42">
        <v>779</v>
      </c>
      <c r="J282" s="29">
        <v>621.75</v>
      </c>
      <c r="K282" s="29">
        <v>621.75</v>
      </c>
      <c r="L282" s="30">
        <v>19</v>
      </c>
      <c r="M282" s="31">
        <f t="shared" si="48"/>
        <v>250106.69</v>
      </c>
      <c r="N282" s="29">
        <v>0</v>
      </c>
      <c r="O282" s="29">
        <v>0</v>
      </c>
      <c r="P282" s="29">
        <v>0</v>
      </c>
      <c r="Q282" s="29">
        <f>'Таблица 3 '!C272</f>
        <v>250106.69</v>
      </c>
      <c r="R282" s="29">
        <f t="shared" si="49"/>
        <v>250106.69</v>
      </c>
      <c r="S282" s="29">
        <v>0</v>
      </c>
      <c r="T282" s="29">
        <f t="shared" si="45"/>
        <v>402.26246883795739</v>
      </c>
      <c r="U282" s="29">
        <f t="shared" si="46"/>
        <v>402.26246883795739</v>
      </c>
      <c r="V282" s="33" t="s">
        <v>45</v>
      </c>
    </row>
    <row r="283" spans="1:22" s="44" customFormat="1" ht="45" x14ac:dyDescent="0.25">
      <c r="A283" s="28">
        <v>4</v>
      </c>
      <c r="B283" s="64" t="s">
        <v>368</v>
      </c>
      <c r="C283" s="25" t="s">
        <v>43</v>
      </c>
      <c r="D283" s="27" t="s">
        <v>93</v>
      </c>
      <c r="E283" s="27" t="s">
        <v>39</v>
      </c>
      <c r="F283" s="28" t="s">
        <v>48</v>
      </c>
      <c r="G283" s="28">
        <v>5</v>
      </c>
      <c r="H283" s="28">
        <v>2</v>
      </c>
      <c r="I283" s="42">
        <v>4559</v>
      </c>
      <c r="J283" s="29">
        <v>2996.78</v>
      </c>
      <c r="K283" s="29">
        <v>2996.78</v>
      </c>
      <c r="L283" s="30">
        <v>156</v>
      </c>
      <c r="M283" s="31">
        <f t="shared" si="48"/>
        <v>8575528.8399999999</v>
      </c>
      <c r="N283" s="29">
        <v>0</v>
      </c>
      <c r="O283" s="29">
        <v>0</v>
      </c>
      <c r="P283" s="29">
        <v>0</v>
      </c>
      <c r="Q283" s="29">
        <f>'Таблица 3 '!C273</f>
        <v>8575528.8399999999</v>
      </c>
      <c r="R283" s="29">
        <f t="shared" si="49"/>
        <v>8575528.8399999999</v>
      </c>
      <c r="S283" s="29">
        <v>0</v>
      </c>
      <c r="T283" s="29">
        <f t="shared" si="45"/>
        <v>2861.5810436535212</v>
      </c>
      <c r="U283" s="29">
        <f t="shared" si="46"/>
        <v>2861.5810436535212</v>
      </c>
      <c r="V283" s="33" t="s">
        <v>45</v>
      </c>
    </row>
    <row r="284" spans="1:22" s="44" customFormat="1" ht="45" x14ac:dyDescent="0.25">
      <c r="A284" s="28">
        <v>5</v>
      </c>
      <c r="B284" s="64" t="s">
        <v>369</v>
      </c>
      <c r="C284" s="25" t="s">
        <v>43</v>
      </c>
      <c r="D284" s="27" t="s">
        <v>370</v>
      </c>
      <c r="E284" s="27" t="s">
        <v>39</v>
      </c>
      <c r="F284" s="28" t="s">
        <v>48</v>
      </c>
      <c r="G284" s="28">
        <v>5</v>
      </c>
      <c r="H284" s="28">
        <v>3</v>
      </c>
      <c r="I284" s="42">
        <v>4005</v>
      </c>
      <c r="J284" s="29">
        <v>3109.7</v>
      </c>
      <c r="K284" s="29">
        <v>3109.7</v>
      </c>
      <c r="L284" s="43">
        <v>132</v>
      </c>
      <c r="M284" s="31">
        <f t="shared" si="48"/>
        <v>11339980.700000001</v>
      </c>
      <c r="N284" s="29">
        <v>0</v>
      </c>
      <c r="O284" s="29">
        <v>0</v>
      </c>
      <c r="P284" s="29">
        <v>0</v>
      </c>
      <c r="Q284" s="29">
        <f>'Таблица 3 '!C274</f>
        <v>11339980.700000001</v>
      </c>
      <c r="R284" s="29">
        <f t="shared" si="49"/>
        <v>11339980.700000001</v>
      </c>
      <c r="S284" s="29">
        <v>0</v>
      </c>
      <c r="T284" s="29">
        <f t="shared" si="45"/>
        <v>3646.6478116860153</v>
      </c>
      <c r="U284" s="29">
        <f t="shared" si="46"/>
        <v>3646.6478116860153</v>
      </c>
      <c r="V284" s="33" t="s">
        <v>45</v>
      </c>
    </row>
    <row r="285" spans="1:22" s="44" customFormat="1" ht="44.25" customHeight="1" x14ac:dyDescent="0.25">
      <c r="A285" s="28">
        <v>6</v>
      </c>
      <c r="B285" s="37" t="s">
        <v>371</v>
      </c>
      <c r="C285" s="65" t="s">
        <v>43</v>
      </c>
      <c r="D285" s="27">
        <v>1999</v>
      </c>
      <c r="E285" s="27" t="s">
        <v>39</v>
      </c>
      <c r="F285" s="25" t="s">
        <v>77</v>
      </c>
      <c r="G285" s="28">
        <v>5</v>
      </c>
      <c r="H285" s="28">
        <v>3</v>
      </c>
      <c r="I285" s="42">
        <v>2769.8</v>
      </c>
      <c r="J285" s="29">
        <v>2423.6799999999998</v>
      </c>
      <c r="K285" s="29">
        <v>2373.38</v>
      </c>
      <c r="L285" s="30">
        <v>48</v>
      </c>
      <c r="M285" s="31">
        <f t="shared" si="48"/>
        <v>5125751.1099999994</v>
      </c>
      <c r="N285" s="29">
        <v>0</v>
      </c>
      <c r="O285" s="29">
        <v>0</v>
      </c>
      <c r="P285" s="29">
        <v>0</v>
      </c>
      <c r="Q285" s="29">
        <f>'Таблица 3 '!C275</f>
        <v>5125751.1099999994</v>
      </c>
      <c r="R285" s="29">
        <f t="shared" si="49"/>
        <v>5125751.1099999994</v>
      </c>
      <c r="S285" s="29">
        <v>0</v>
      </c>
      <c r="T285" s="29">
        <f t="shared" si="45"/>
        <v>2114.8629810866119</v>
      </c>
      <c r="U285" s="29">
        <f t="shared" si="46"/>
        <v>2114.8629810866119</v>
      </c>
      <c r="V285" s="33" t="s">
        <v>45</v>
      </c>
    </row>
    <row r="286" spans="1:22" s="44" customFormat="1" ht="44.25" customHeight="1" x14ac:dyDescent="0.25">
      <c r="A286" s="28">
        <v>7</v>
      </c>
      <c r="B286" s="38" t="s">
        <v>372</v>
      </c>
      <c r="C286" s="25" t="s">
        <v>43</v>
      </c>
      <c r="D286" s="27">
        <v>1976</v>
      </c>
      <c r="E286" s="27">
        <v>2024</v>
      </c>
      <c r="F286" s="25" t="s">
        <v>77</v>
      </c>
      <c r="G286" s="28">
        <v>2</v>
      </c>
      <c r="H286" s="28">
        <v>2</v>
      </c>
      <c r="I286" s="42">
        <v>747.5</v>
      </c>
      <c r="J286" s="29">
        <v>728.7</v>
      </c>
      <c r="K286" s="29">
        <v>687.7</v>
      </c>
      <c r="L286" s="30">
        <v>17</v>
      </c>
      <c r="M286" s="31">
        <f t="shared" si="48"/>
        <v>689136.11</v>
      </c>
      <c r="N286" s="29">
        <v>0</v>
      </c>
      <c r="O286" s="29">
        <v>0</v>
      </c>
      <c r="P286" s="29">
        <v>0</v>
      </c>
      <c r="Q286" s="29">
        <f>'Таблица 3 '!C276</f>
        <v>689136.11</v>
      </c>
      <c r="R286" s="29">
        <f t="shared" si="49"/>
        <v>689136.11</v>
      </c>
      <c r="S286" s="29">
        <v>0</v>
      </c>
      <c r="T286" s="29">
        <f t="shared" si="45"/>
        <v>945.70620282695199</v>
      </c>
      <c r="U286" s="29">
        <f t="shared" si="46"/>
        <v>945.70620282695199</v>
      </c>
      <c r="V286" s="33" t="s">
        <v>45</v>
      </c>
    </row>
    <row r="287" spans="1:22" s="44" customFormat="1" ht="44.25" customHeight="1" x14ac:dyDescent="0.25">
      <c r="A287" s="28">
        <v>8</v>
      </c>
      <c r="B287" s="38" t="s">
        <v>373</v>
      </c>
      <c r="C287" s="25" t="s">
        <v>43</v>
      </c>
      <c r="D287" s="27">
        <v>1970</v>
      </c>
      <c r="E287" s="27">
        <v>2016</v>
      </c>
      <c r="F287" s="25" t="s">
        <v>77</v>
      </c>
      <c r="G287" s="28">
        <v>2</v>
      </c>
      <c r="H287" s="28">
        <v>3</v>
      </c>
      <c r="I287" s="42">
        <v>617</v>
      </c>
      <c r="J287" s="29">
        <v>520.42999999999995</v>
      </c>
      <c r="K287" s="29">
        <v>520.42999999999995</v>
      </c>
      <c r="L287" s="30">
        <v>27</v>
      </c>
      <c r="M287" s="31">
        <f t="shared" si="48"/>
        <v>1901927.52</v>
      </c>
      <c r="N287" s="29">
        <v>0</v>
      </c>
      <c r="O287" s="29">
        <v>0</v>
      </c>
      <c r="P287" s="29">
        <v>0</v>
      </c>
      <c r="Q287" s="29">
        <f>'Таблица 3 '!C277</f>
        <v>1901927.52</v>
      </c>
      <c r="R287" s="29">
        <f t="shared" si="49"/>
        <v>1901927.52</v>
      </c>
      <c r="S287" s="29">
        <v>0</v>
      </c>
      <c r="T287" s="29">
        <f t="shared" si="45"/>
        <v>3654.5309071344855</v>
      </c>
      <c r="U287" s="29">
        <f t="shared" si="46"/>
        <v>3654.5309071344855</v>
      </c>
      <c r="V287" s="33" t="s">
        <v>45</v>
      </c>
    </row>
    <row r="288" spans="1:22" s="44" customFormat="1" ht="44.25" customHeight="1" x14ac:dyDescent="0.25">
      <c r="A288" s="28">
        <v>9</v>
      </c>
      <c r="B288" s="37" t="s">
        <v>374</v>
      </c>
      <c r="C288" s="65" t="s">
        <v>43</v>
      </c>
      <c r="D288" s="27">
        <v>1990</v>
      </c>
      <c r="E288" s="27" t="s">
        <v>39</v>
      </c>
      <c r="F288" s="25" t="s">
        <v>77</v>
      </c>
      <c r="G288" s="25">
        <v>5</v>
      </c>
      <c r="H288" s="25">
        <v>3</v>
      </c>
      <c r="I288" s="42">
        <v>1157.4000000000001</v>
      </c>
      <c r="J288" s="42">
        <v>898.25</v>
      </c>
      <c r="K288" s="42">
        <v>898.25</v>
      </c>
      <c r="L288" s="43">
        <v>44</v>
      </c>
      <c r="M288" s="31">
        <f t="shared" si="48"/>
        <v>273962.38</v>
      </c>
      <c r="N288" s="29">
        <v>0</v>
      </c>
      <c r="O288" s="29">
        <v>0</v>
      </c>
      <c r="P288" s="29">
        <v>0</v>
      </c>
      <c r="Q288" s="29">
        <f>'Таблица 3 '!C278</f>
        <v>273962.38</v>
      </c>
      <c r="R288" s="29">
        <f t="shared" si="49"/>
        <v>273962.38</v>
      </c>
      <c r="S288" s="29">
        <v>0</v>
      </c>
      <c r="T288" s="29">
        <f t="shared" si="45"/>
        <v>304.99569162259951</v>
      </c>
      <c r="U288" s="29">
        <f t="shared" si="46"/>
        <v>304.99569162259951</v>
      </c>
      <c r="V288" s="33" t="s">
        <v>45</v>
      </c>
    </row>
    <row r="289" spans="1:22" s="44" customFormat="1" ht="44.25" customHeight="1" x14ac:dyDescent="0.25">
      <c r="A289" s="28">
        <v>10</v>
      </c>
      <c r="B289" s="37" t="s">
        <v>375</v>
      </c>
      <c r="C289" s="25" t="s">
        <v>43</v>
      </c>
      <c r="D289" s="27">
        <v>1991</v>
      </c>
      <c r="E289" s="27" t="s">
        <v>39</v>
      </c>
      <c r="F289" s="25" t="s">
        <v>77</v>
      </c>
      <c r="G289" s="25">
        <v>3</v>
      </c>
      <c r="H289" s="25">
        <v>3</v>
      </c>
      <c r="I289" s="42">
        <v>1167.33</v>
      </c>
      <c r="J289" s="42">
        <v>1087.1099999999999</v>
      </c>
      <c r="K289" s="42">
        <v>1037.2</v>
      </c>
      <c r="L289" s="43">
        <v>42</v>
      </c>
      <c r="M289" s="31">
        <f t="shared" si="48"/>
        <v>1973856.5599999998</v>
      </c>
      <c r="N289" s="29">
        <v>0</v>
      </c>
      <c r="O289" s="29">
        <v>0</v>
      </c>
      <c r="P289" s="29">
        <v>0</v>
      </c>
      <c r="Q289" s="29">
        <f>'Таблица 3 '!C279</f>
        <v>1973856.5599999998</v>
      </c>
      <c r="R289" s="29">
        <f t="shared" si="49"/>
        <v>1973856.5599999998</v>
      </c>
      <c r="S289" s="29">
        <v>0</v>
      </c>
      <c r="T289" s="29">
        <f t="shared" si="45"/>
        <v>1815.6916595376733</v>
      </c>
      <c r="U289" s="29">
        <f t="shared" si="46"/>
        <v>1815.6916595376733</v>
      </c>
      <c r="V289" s="33" t="s">
        <v>45</v>
      </c>
    </row>
    <row r="290" spans="1:22" s="44" customFormat="1" ht="44.25" customHeight="1" x14ac:dyDescent="0.25">
      <c r="A290" s="28">
        <v>11</v>
      </c>
      <c r="B290" s="37" t="s">
        <v>376</v>
      </c>
      <c r="C290" s="65" t="s">
        <v>43</v>
      </c>
      <c r="D290" s="27">
        <v>1993</v>
      </c>
      <c r="E290" s="27">
        <v>2020</v>
      </c>
      <c r="F290" s="25" t="s">
        <v>77</v>
      </c>
      <c r="G290" s="25">
        <v>5</v>
      </c>
      <c r="H290" s="25">
        <v>1</v>
      </c>
      <c r="I290" s="42">
        <v>1087.5</v>
      </c>
      <c r="J290" s="42">
        <v>967.36</v>
      </c>
      <c r="K290" s="42">
        <v>967.36</v>
      </c>
      <c r="L290" s="43">
        <v>15</v>
      </c>
      <c r="M290" s="31">
        <f t="shared" si="48"/>
        <v>291341.84000000003</v>
      </c>
      <c r="N290" s="29">
        <v>0</v>
      </c>
      <c r="O290" s="29">
        <v>0</v>
      </c>
      <c r="P290" s="29">
        <v>0</v>
      </c>
      <c r="Q290" s="29">
        <f>'Таблица 3 '!C280</f>
        <v>291341.84000000003</v>
      </c>
      <c r="R290" s="29">
        <f t="shared" si="49"/>
        <v>291341.84000000003</v>
      </c>
      <c r="S290" s="29">
        <v>0</v>
      </c>
      <c r="T290" s="29">
        <f t="shared" si="45"/>
        <v>301.17209725438306</v>
      </c>
      <c r="U290" s="29">
        <f t="shared" si="46"/>
        <v>301.17209725438306</v>
      </c>
      <c r="V290" s="33" t="s">
        <v>45</v>
      </c>
    </row>
    <row r="291" spans="1:22" s="44" customFormat="1" ht="44.25" customHeight="1" x14ac:dyDescent="0.25">
      <c r="A291" s="28">
        <v>12</v>
      </c>
      <c r="B291" s="37" t="s">
        <v>377</v>
      </c>
      <c r="C291" s="25" t="s">
        <v>43</v>
      </c>
      <c r="D291" s="27" t="s">
        <v>378</v>
      </c>
      <c r="E291" s="27" t="s">
        <v>39</v>
      </c>
      <c r="F291" s="25" t="s">
        <v>77</v>
      </c>
      <c r="G291" s="25">
        <v>3</v>
      </c>
      <c r="H291" s="25">
        <v>3</v>
      </c>
      <c r="I291" s="42">
        <v>934.16</v>
      </c>
      <c r="J291" s="42">
        <v>860.87</v>
      </c>
      <c r="K291" s="42">
        <v>860.87</v>
      </c>
      <c r="L291" s="43">
        <v>46</v>
      </c>
      <c r="M291" s="31">
        <f t="shared" si="48"/>
        <v>200000</v>
      </c>
      <c r="N291" s="29">
        <v>0</v>
      </c>
      <c r="O291" s="29">
        <v>0</v>
      </c>
      <c r="P291" s="29">
        <v>0</v>
      </c>
      <c r="Q291" s="29">
        <f>'Таблица 3 '!C281</f>
        <v>200000</v>
      </c>
      <c r="R291" s="29">
        <f t="shared" si="49"/>
        <v>200000</v>
      </c>
      <c r="S291" s="29">
        <v>0</v>
      </c>
      <c r="T291" s="29">
        <f t="shared" si="45"/>
        <v>232.32311498832576</v>
      </c>
      <c r="U291" s="29">
        <f t="shared" si="46"/>
        <v>232.32311498832576</v>
      </c>
      <c r="V291" s="33" t="s">
        <v>45</v>
      </c>
    </row>
    <row r="292" spans="1:22" s="44" customFormat="1" ht="44.25" customHeight="1" x14ac:dyDescent="0.25">
      <c r="A292" s="28">
        <v>13</v>
      </c>
      <c r="B292" s="37" t="s">
        <v>379</v>
      </c>
      <c r="C292" s="65" t="s">
        <v>43</v>
      </c>
      <c r="D292" s="27">
        <v>1977</v>
      </c>
      <c r="E292" s="27" t="s">
        <v>39</v>
      </c>
      <c r="F292" s="25" t="s">
        <v>77</v>
      </c>
      <c r="G292" s="28">
        <v>5</v>
      </c>
      <c r="H292" s="28">
        <v>4</v>
      </c>
      <c r="I292" s="42">
        <v>3245.98</v>
      </c>
      <c r="J292" s="29">
        <v>3084.09</v>
      </c>
      <c r="K292" s="29">
        <v>3084.09</v>
      </c>
      <c r="L292" s="30">
        <v>65</v>
      </c>
      <c r="M292" s="31">
        <f t="shared" si="48"/>
        <v>9505701.3100000005</v>
      </c>
      <c r="N292" s="29">
        <v>0</v>
      </c>
      <c r="O292" s="29">
        <v>0</v>
      </c>
      <c r="P292" s="29">
        <v>0</v>
      </c>
      <c r="Q292" s="29">
        <f>'Таблица 3 '!C282</f>
        <v>9505701.3100000005</v>
      </c>
      <c r="R292" s="29">
        <f t="shared" si="49"/>
        <v>9505701.3100000005</v>
      </c>
      <c r="S292" s="29">
        <v>0</v>
      </c>
      <c r="T292" s="29">
        <f t="shared" si="45"/>
        <v>3082.1737724904265</v>
      </c>
      <c r="U292" s="29">
        <f t="shared" si="46"/>
        <v>3082.1737724904265</v>
      </c>
      <c r="V292" s="33" t="s">
        <v>45</v>
      </c>
    </row>
    <row r="293" spans="1:22" s="44" customFormat="1" ht="44.25" customHeight="1" x14ac:dyDescent="0.25">
      <c r="A293" s="28">
        <v>14</v>
      </c>
      <c r="B293" s="37" t="s">
        <v>380</v>
      </c>
      <c r="C293" s="65" t="s">
        <v>43</v>
      </c>
      <c r="D293" s="27">
        <v>1967</v>
      </c>
      <c r="E293" s="27" t="s">
        <v>39</v>
      </c>
      <c r="F293" s="25" t="s">
        <v>77</v>
      </c>
      <c r="G293" s="28">
        <v>2</v>
      </c>
      <c r="H293" s="28">
        <v>2</v>
      </c>
      <c r="I293" s="42">
        <v>956.34</v>
      </c>
      <c r="J293" s="29">
        <v>633.58000000000004</v>
      </c>
      <c r="K293" s="29">
        <v>586.82000000000005</v>
      </c>
      <c r="L293" s="30">
        <v>16</v>
      </c>
      <c r="M293" s="31">
        <f t="shared" si="48"/>
        <v>1930616.82</v>
      </c>
      <c r="N293" s="29">
        <v>0</v>
      </c>
      <c r="O293" s="29">
        <v>0</v>
      </c>
      <c r="P293" s="29">
        <v>0</v>
      </c>
      <c r="Q293" s="29">
        <f>'Таблица 3 '!C283</f>
        <v>1930616.82</v>
      </c>
      <c r="R293" s="29">
        <f t="shared" si="49"/>
        <v>1930616.82</v>
      </c>
      <c r="S293" s="29">
        <v>0</v>
      </c>
      <c r="T293" s="29">
        <f t="shared" si="45"/>
        <v>3047.1555604659238</v>
      </c>
      <c r="U293" s="29">
        <f t="shared" si="46"/>
        <v>3047.1555604659238</v>
      </c>
      <c r="V293" s="33" t="s">
        <v>45</v>
      </c>
    </row>
    <row r="294" spans="1:22" s="44" customFormat="1" ht="44.25" customHeight="1" x14ac:dyDescent="0.25">
      <c r="A294" s="28">
        <v>15</v>
      </c>
      <c r="B294" s="37" t="s">
        <v>381</v>
      </c>
      <c r="C294" s="65" t="s">
        <v>43</v>
      </c>
      <c r="D294" s="27" t="s">
        <v>137</v>
      </c>
      <c r="E294" s="27" t="s">
        <v>39</v>
      </c>
      <c r="F294" s="25" t="s">
        <v>77</v>
      </c>
      <c r="G294" s="28">
        <v>2</v>
      </c>
      <c r="H294" s="28">
        <v>1</v>
      </c>
      <c r="I294" s="42">
        <v>839.3</v>
      </c>
      <c r="J294" s="29">
        <v>530.70000000000005</v>
      </c>
      <c r="K294" s="29">
        <v>460.9</v>
      </c>
      <c r="L294" s="30">
        <v>28</v>
      </c>
      <c r="M294" s="31">
        <f t="shared" si="48"/>
        <v>1998277.4</v>
      </c>
      <c r="N294" s="29">
        <v>0</v>
      </c>
      <c r="O294" s="29">
        <v>0</v>
      </c>
      <c r="P294" s="29">
        <v>0</v>
      </c>
      <c r="Q294" s="29">
        <f>'Таблица 3 '!C284</f>
        <v>1998277.4</v>
      </c>
      <c r="R294" s="29">
        <f t="shared" si="49"/>
        <v>1998277.4</v>
      </c>
      <c r="S294" s="29">
        <v>0</v>
      </c>
      <c r="T294" s="29">
        <f t="shared" si="45"/>
        <v>3765.3615978895791</v>
      </c>
      <c r="U294" s="29">
        <f t="shared" si="46"/>
        <v>3765.3615978895791</v>
      </c>
      <c r="V294" s="33" t="s">
        <v>45</v>
      </c>
    </row>
    <row r="295" spans="1:22" s="44" customFormat="1" ht="32.25" customHeight="1" x14ac:dyDescent="0.25">
      <c r="A295" s="322" t="s">
        <v>382</v>
      </c>
      <c r="B295" s="322"/>
      <c r="C295" s="18" t="s">
        <v>39</v>
      </c>
      <c r="D295" s="18" t="s">
        <v>39</v>
      </c>
      <c r="E295" s="19" t="s">
        <v>39</v>
      </c>
      <c r="F295" s="18" t="s">
        <v>39</v>
      </c>
      <c r="G295" s="20" t="s">
        <v>39</v>
      </c>
      <c r="H295" s="20" t="s">
        <v>39</v>
      </c>
      <c r="I295" s="21">
        <f t="shared" ref="I295:S295" si="50">SUM(I296:I311)</f>
        <v>83437.17</v>
      </c>
      <c r="J295" s="21">
        <f t="shared" si="50"/>
        <v>54203.430000000008</v>
      </c>
      <c r="K295" s="21">
        <f t="shared" si="50"/>
        <v>53289.330000000009</v>
      </c>
      <c r="L295" s="22">
        <f t="shared" si="50"/>
        <v>2086</v>
      </c>
      <c r="M295" s="21">
        <f t="shared" si="50"/>
        <v>15563709.579999996</v>
      </c>
      <c r="N295" s="21">
        <f t="shared" si="50"/>
        <v>0</v>
      </c>
      <c r="O295" s="21">
        <f t="shared" si="50"/>
        <v>0</v>
      </c>
      <c r="P295" s="21">
        <f t="shared" si="50"/>
        <v>0</v>
      </c>
      <c r="Q295" s="21">
        <f t="shared" si="50"/>
        <v>15563709.579999996</v>
      </c>
      <c r="R295" s="21">
        <f t="shared" si="50"/>
        <v>15563709.579999996</v>
      </c>
      <c r="S295" s="21">
        <f t="shared" si="50"/>
        <v>0</v>
      </c>
      <c r="T295" s="60" t="s">
        <v>40</v>
      </c>
      <c r="U295" s="60" t="s">
        <v>40</v>
      </c>
      <c r="V295" s="72" t="s">
        <v>40</v>
      </c>
    </row>
    <row r="296" spans="1:22" s="44" customFormat="1" ht="42" customHeight="1" x14ac:dyDescent="0.25">
      <c r="A296" s="25">
        <v>1</v>
      </c>
      <c r="B296" s="37" t="s">
        <v>383</v>
      </c>
      <c r="C296" s="25" t="s">
        <v>90</v>
      </c>
      <c r="D296" s="25">
        <v>1970</v>
      </c>
      <c r="E296" s="27" t="s">
        <v>40</v>
      </c>
      <c r="F296" s="25" t="s">
        <v>384</v>
      </c>
      <c r="G296" s="28">
        <v>5</v>
      </c>
      <c r="H296" s="28">
        <v>4</v>
      </c>
      <c r="I296" s="29">
        <v>6012.74</v>
      </c>
      <c r="J296" s="29">
        <v>3822.76</v>
      </c>
      <c r="K296" s="29">
        <f>J296</f>
        <v>3822.76</v>
      </c>
      <c r="L296" s="30">
        <v>168</v>
      </c>
      <c r="M296" s="32">
        <f t="shared" ref="M296:M311" si="51">SUM(N296:Q296)</f>
        <v>500881.53</v>
      </c>
      <c r="N296" s="32">
        <v>0</v>
      </c>
      <c r="O296" s="32">
        <v>0</v>
      </c>
      <c r="P296" s="32">
        <v>0</v>
      </c>
      <c r="Q296" s="32">
        <f>'Таблица 3 '!C286</f>
        <v>500881.53</v>
      </c>
      <c r="R296" s="32">
        <f t="shared" ref="R296:R311" si="52">Q296</f>
        <v>500881.53</v>
      </c>
      <c r="S296" s="32">
        <v>0</v>
      </c>
      <c r="T296" s="29">
        <f t="shared" si="45"/>
        <v>131.02615126243865</v>
      </c>
      <c r="U296" s="29">
        <v>1351</v>
      </c>
      <c r="V296" s="73" t="s">
        <v>45</v>
      </c>
    </row>
    <row r="297" spans="1:22" s="44" customFormat="1" ht="42" customHeight="1" x14ac:dyDescent="0.25">
      <c r="A297" s="25">
        <v>2</v>
      </c>
      <c r="B297" s="37" t="s">
        <v>385</v>
      </c>
      <c r="C297" s="25" t="s">
        <v>90</v>
      </c>
      <c r="D297" s="25">
        <v>1974</v>
      </c>
      <c r="E297" s="25" t="s">
        <v>40</v>
      </c>
      <c r="F297" s="25" t="s">
        <v>384</v>
      </c>
      <c r="G297" s="28">
        <v>5</v>
      </c>
      <c r="H297" s="28">
        <v>9</v>
      </c>
      <c r="I297" s="29">
        <v>11768.84</v>
      </c>
      <c r="J297" s="29">
        <v>7396.14</v>
      </c>
      <c r="K297" s="29">
        <v>7235.24</v>
      </c>
      <c r="L297" s="30">
        <v>261</v>
      </c>
      <c r="M297" s="32">
        <f t="shared" si="51"/>
        <v>1606329.87</v>
      </c>
      <c r="N297" s="32">
        <v>0</v>
      </c>
      <c r="O297" s="32">
        <v>0</v>
      </c>
      <c r="P297" s="32">
        <v>0</v>
      </c>
      <c r="Q297" s="32">
        <f>'Таблица 3 '!C287</f>
        <v>1606329.87</v>
      </c>
      <c r="R297" s="32">
        <f t="shared" si="52"/>
        <v>1606329.87</v>
      </c>
      <c r="S297" s="32">
        <v>0</v>
      </c>
      <c r="T297" s="29">
        <f t="shared" si="45"/>
        <v>217.18489238981414</v>
      </c>
      <c r="U297" s="29">
        <v>1351</v>
      </c>
      <c r="V297" s="73" t="s">
        <v>45</v>
      </c>
    </row>
    <row r="298" spans="1:22" s="44" customFormat="1" ht="42" customHeight="1" x14ac:dyDescent="0.25">
      <c r="A298" s="25">
        <v>3</v>
      </c>
      <c r="B298" s="37" t="s">
        <v>386</v>
      </c>
      <c r="C298" s="25" t="s">
        <v>90</v>
      </c>
      <c r="D298" s="25">
        <v>1974</v>
      </c>
      <c r="E298" s="27" t="s">
        <v>40</v>
      </c>
      <c r="F298" s="25" t="s">
        <v>384</v>
      </c>
      <c r="G298" s="28">
        <v>5</v>
      </c>
      <c r="H298" s="28">
        <v>9</v>
      </c>
      <c r="I298" s="29">
        <v>11743.88</v>
      </c>
      <c r="J298" s="29">
        <v>7368.88</v>
      </c>
      <c r="K298" s="29">
        <f t="shared" ref="K298:K306" si="53">J298</f>
        <v>7368.88</v>
      </c>
      <c r="L298" s="30">
        <v>275</v>
      </c>
      <c r="M298" s="32">
        <f t="shared" si="51"/>
        <v>1625844.75</v>
      </c>
      <c r="N298" s="32">
        <v>0</v>
      </c>
      <c r="O298" s="32">
        <v>0</v>
      </c>
      <c r="P298" s="32">
        <v>0</v>
      </c>
      <c r="Q298" s="32">
        <f>'Таблица 3 '!C288</f>
        <v>1625844.75</v>
      </c>
      <c r="R298" s="32">
        <f t="shared" si="52"/>
        <v>1625844.75</v>
      </c>
      <c r="S298" s="32">
        <v>0</v>
      </c>
      <c r="T298" s="29">
        <f t="shared" si="45"/>
        <v>220.63661641932018</v>
      </c>
      <c r="U298" s="29">
        <v>1351</v>
      </c>
      <c r="V298" s="73" t="s">
        <v>45</v>
      </c>
    </row>
    <row r="299" spans="1:22" s="44" customFormat="1" ht="42" customHeight="1" x14ac:dyDescent="0.25">
      <c r="A299" s="25">
        <v>4</v>
      </c>
      <c r="B299" s="37" t="s">
        <v>387</v>
      </c>
      <c r="C299" s="25" t="s">
        <v>90</v>
      </c>
      <c r="D299" s="25">
        <v>1974</v>
      </c>
      <c r="E299" s="25" t="s">
        <v>40</v>
      </c>
      <c r="F299" s="25" t="s">
        <v>384</v>
      </c>
      <c r="G299" s="28">
        <v>5</v>
      </c>
      <c r="H299" s="28">
        <v>5</v>
      </c>
      <c r="I299" s="29">
        <v>6043.87</v>
      </c>
      <c r="J299" s="29">
        <v>3841.62</v>
      </c>
      <c r="K299" s="29">
        <f t="shared" si="53"/>
        <v>3841.62</v>
      </c>
      <c r="L299" s="30">
        <v>129</v>
      </c>
      <c r="M299" s="32">
        <f t="shared" si="51"/>
        <v>950823.64</v>
      </c>
      <c r="N299" s="32">
        <v>0</v>
      </c>
      <c r="O299" s="32">
        <v>0</v>
      </c>
      <c r="P299" s="32">
        <v>0</v>
      </c>
      <c r="Q299" s="32">
        <f>'Таблица 3 '!C289</f>
        <v>950823.64</v>
      </c>
      <c r="R299" s="32">
        <f t="shared" si="52"/>
        <v>950823.64</v>
      </c>
      <c r="S299" s="32">
        <v>0</v>
      </c>
      <c r="T299" s="29">
        <f t="shared" si="45"/>
        <v>247.50590636242003</v>
      </c>
      <c r="U299" s="29">
        <v>1351</v>
      </c>
      <c r="V299" s="73" t="s">
        <v>45</v>
      </c>
    </row>
    <row r="300" spans="1:22" s="44" customFormat="1" ht="42" customHeight="1" x14ac:dyDescent="0.25">
      <c r="A300" s="25">
        <v>5</v>
      </c>
      <c r="B300" s="37" t="s">
        <v>388</v>
      </c>
      <c r="C300" s="25" t="s">
        <v>90</v>
      </c>
      <c r="D300" s="25">
        <v>1974</v>
      </c>
      <c r="E300" s="27" t="s">
        <v>40</v>
      </c>
      <c r="F300" s="25" t="s">
        <v>384</v>
      </c>
      <c r="G300" s="28">
        <v>5</v>
      </c>
      <c r="H300" s="28">
        <v>5</v>
      </c>
      <c r="I300" s="29">
        <v>6009.81</v>
      </c>
      <c r="J300" s="29">
        <v>3860.41</v>
      </c>
      <c r="K300" s="29">
        <f t="shared" si="53"/>
        <v>3860.41</v>
      </c>
      <c r="L300" s="30">
        <v>135</v>
      </c>
      <c r="M300" s="32">
        <f t="shared" si="51"/>
        <v>583927.49</v>
      </c>
      <c r="N300" s="32">
        <v>0</v>
      </c>
      <c r="O300" s="32">
        <v>0</v>
      </c>
      <c r="P300" s="32">
        <v>0</v>
      </c>
      <c r="Q300" s="32">
        <f>'Таблица 3 '!C290</f>
        <v>583927.49</v>
      </c>
      <c r="R300" s="32">
        <f t="shared" si="52"/>
        <v>583927.49</v>
      </c>
      <c r="S300" s="32">
        <v>0</v>
      </c>
      <c r="T300" s="29">
        <f t="shared" si="45"/>
        <v>151.26048528524171</v>
      </c>
      <c r="U300" s="29">
        <v>1351</v>
      </c>
      <c r="V300" s="73" t="s">
        <v>45</v>
      </c>
    </row>
    <row r="301" spans="1:22" s="44" customFormat="1" ht="42" customHeight="1" x14ac:dyDescent="0.25">
      <c r="A301" s="25">
        <v>6</v>
      </c>
      <c r="B301" s="37" t="s">
        <v>389</v>
      </c>
      <c r="C301" s="25" t="s">
        <v>90</v>
      </c>
      <c r="D301" s="25">
        <v>1972</v>
      </c>
      <c r="E301" s="25" t="s">
        <v>40</v>
      </c>
      <c r="F301" s="25" t="s">
        <v>384</v>
      </c>
      <c r="G301" s="28">
        <v>5</v>
      </c>
      <c r="H301" s="28">
        <v>5</v>
      </c>
      <c r="I301" s="29">
        <v>7008.75</v>
      </c>
      <c r="J301" s="29">
        <v>4561.37</v>
      </c>
      <c r="K301" s="29">
        <f t="shared" si="53"/>
        <v>4561.37</v>
      </c>
      <c r="L301" s="30">
        <v>211</v>
      </c>
      <c r="M301" s="32">
        <f t="shared" si="51"/>
        <v>1520137.17</v>
      </c>
      <c r="N301" s="32">
        <v>0</v>
      </c>
      <c r="O301" s="32">
        <v>0</v>
      </c>
      <c r="P301" s="32">
        <v>0</v>
      </c>
      <c r="Q301" s="32">
        <f>'Таблица 3 '!C291</f>
        <v>1520137.17</v>
      </c>
      <c r="R301" s="32">
        <f t="shared" si="52"/>
        <v>1520137.17</v>
      </c>
      <c r="S301" s="32">
        <v>0</v>
      </c>
      <c r="T301" s="29">
        <f t="shared" si="45"/>
        <v>333.26328931877924</v>
      </c>
      <c r="U301" s="29">
        <v>1351</v>
      </c>
      <c r="V301" s="73" t="s">
        <v>45</v>
      </c>
    </row>
    <row r="302" spans="1:22" s="44" customFormat="1" ht="42" customHeight="1" x14ac:dyDescent="0.25">
      <c r="A302" s="25">
        <v>7</v>
      </c>
      <c r="B302" s="37" t="s">
        <v>390</v>
      </c>
      <c r="C302" s="25" t="s">
        <v>90</v>
      </c>
      <c r="D302" s="25">
        <v>1972</v>
      </c>
      <c r="E302" s="27" t="s">
        <v>40</v>
      </c>
      <c r="F302" s="25" t="s">
        <v>384</v>
      </c>
      <c r="G302" s="28">
        <v>5</v>
      </c>
      <c r="H302" s="28">
        <v>5</v>
      </c>
      <c r="I302" s="29">
        <v>5994.86</v>
      </c>
      <c r="J302" s="29">
        <v>3818.36</v>
      </c>
      <c r="K302" s="29">
        <f t="shared" si="53"/>
        <v>3818.36</v>
      </c>
      <c r="L302" s="30">
        <v>139</v>
      </c>
      <c r="M302" s="32">
        <f t="shared" si="51"/>
        <v>649450.31000000006</v>
      </c>
      <c r="N302" s="32">
        <v>0</v>
      </c>
      <c r="O302" s="32">
        <v>0</v>
      </c>
      <c r="P302" s="32">
        <v>0</v>
      </c>
      <c r="Q302" s="32">
        <f>'Таблица 3 '!C292</f>
        <v>649450.31000000006</v>
      </c>
      <c r="R302" s="32">
        <f t="shared" si="52"/>
        <v>649450.31000000006</v>
      </c>
      <c r="S302" s="32">
        <v>0</v>
      </c>
      <c r="T302" s="29">
        <f t="shared" si="45"/>
        <v>170.08619145392262</v>
      </c>
      <c r="U302" s="29">
        <v>1351</v>
      </c>
      <c r="V302" s="73" t="s">
        <v>45</v>
      </c>
    </row>
    <row r="303" spans="1:22" s="44" customFormat="1" ht="42" customHeight="1" x14ac:dyDescent="0.25">
      <c r="A303" s="25">
        <v>8</v>
      </c>
      <c r="B303" s="37" t="s">
        <v>391</v>
      </c>
      <c r="C303" s="25" t="s">
        <v>90</v>
      </c>
      <c r="D303" s="25">
        <v>1972</v>
      </c>
      <c r="E303" s="25" t="s">
        <v>40</v>
      </c>
      <c r="F303" s="25" t="s">
        <v>384</v>
      </c>
      <c r="G303" s="28">
        <v>5</v>
      </c>
      <c r="H303" s="28">
        <v>5</v>
      </c>
      <c r="I303" s="29">
        <v>6036.22</v>
      </c>
      <c r="J303" s="29">
        <v>3851.72</v>
      </c>
      <c r="K303" s="29">
        <f t="shared" si="53"/>
        <v>3851.72</v>
      </c>
      <c r="L303" s="30">
        <v>160</v>
      </c>
      <c r="M303" s="32">
        <f t="shared" si="51"/>
        <v>649450.31000000006</v>
      </c>
      <c r="N303" s="32">
        <v>0</v>
      </c>
      <c r="O303" s="32">
        <v>0</v>
      </c>
      <c r="P303" s="32">
        <v>0</v>
      </c>
      <c r="Q303" s="32">
        <f>'Таблица 3 '!C293</f>
        <v>649450.31000000006</v>
      </c>
      <c r="R303" s="32">
        <f t="shared" si="52"/>
        <v>649450.31000000006</v>
      </c>
      <c r="S303" s="32">
        <v>0</v>
      </c>
      <c r="T303" s="29">
        <f t="shared" si="45"/>
        <v>168.61306377410614</v>
      </c>
      <c r="U303" s="29">
        <v>1351</v>
      </c>
      <c r="V303" s="73" t="s">
        <v>45</v>
      </c>
    </row>
    <row r="304" spans="1:22" s="44" customFormat="1" ht="42" customHeight="1" x14ac:dyDescent="0.25">
      <c r="A304" s="25">
        <v>9</v>
      </c>
      <c r="B304" s="37" t="s">
        <v>392</v>
      </c>
      <c r="C304" s="25" t="s">
        <v>90</v>
      </c>
      <c r="D304" s="25">
        <v>1976</v>
      </c>
      <c r="E304" s="27" t="s">
        <v>40</v>
      </c>
      <c r="F304" s="25" t="s">
        <v>384</v>
      </c>
      <c r="G304" s="28">
        <v>5</v>
      </c>
      <c r="H304" s="28">
        <v>4</v>
      </c>
      <c r="I304" s="29">
        <v>6280.99</v>
      </c>
      <c r="J304" s="29">
        <v>3981.19</v>
      </c>
      <c r="K304" s="29">
        <f t="shared" si="53"/>
        <v>3981.19</v>
      </c>
      <c r="L304" s="30">
        <v>181</v>
      </c>
      <c r="M304" s="32">
        <f t="shared" si="51"/>
        <v>596733.35</v>
      </c>
      <c r="N304" s="32">
        <v>0</v>
      </c>
      <c r="O304" s="32">
        <v>0</v>
      </c>
      <c r="P304" s="32">
        <v>0</v>
      </c>
      <c r="Q304" s="32">
        <f>'Таблица 3 '!C294</f>
        <v>596733.35</v>
      </c>
      <c r="R304" s="32">
        <f t="shared" si="52"/>
        <v>596733.35</v>
      </c>
      <c r="S304" s="32">
        <v>0</v>
      </c>
      <c r="T304" s="29">
        <f t="shared" si="45"/>
        <v>149.88818669794708</v>
      </c>
      <c r="U304" s="29">
        <v>1351</v>
      </c>
      <c r="V304" s="73" t="s">
        <v>45</v>
      </c>
    </row>
    <row r="305" spans="1:22" s="44" customFormat="1" ht="42" customHeight="1" x14ac:dyDescent="0.25">
      <c r="A305" s="25">
        <v>10</v>
      </c>
      <c r="B305" s="37" t="s">
        <v>393</v>
      </c>
      <c r="C305" s="25" t="s">
        <v>90</v>
      </c>
      <c r="D305" s="25">
        <v>1980</v>
      </c>
      <c r="E305" s="25" t="s">
        <v>40</v>
      </c>
      <c r="F305" s="25" t="s">
        <v>384</v>
      </c>
      <c r="G305" s="28">
        <v>5</v>
      </c>
      <c r="H305" s="28">
        <v>4</v>
      </c>
      <c r="I305" s="29">
        <v>6230.08</v>
      </c>
      <c r="J305" s="29">
        <v>3967.08</v>
      </c>
      <c r="K305" s="29">
        <f t="shared" si="53"/>
        <v>3967.08</v>
      </c>
      <c r="L305" s="30">
        <v>166</v>
      </c>
      <c r="M305" s="32">
        <f t="shared" si="51"/>
        <v>2367814.96</v>
      </c>
      <c r="N305" s="32">
        <v>0</v>
      </c>
      <c r="O305" s="32">
        <v>0</v>
      </c>
      <c r="P305" s="32">
        <v>0</v>
      </c>
      <c r="Q305" s="32">
        <f>'Таблица 3 '!C295</f>
        <v>2367814.96</v>
      </c>
      <c r="R305" s="32">
        <f t="shared" si="52"/>
        <v>2367814.96</v>
      </c>
      <c r="S305" s="32">
        <v>0</v>
      </c>
      <c r="T305" s="29">
        <f t="shared" si="45"/>
        <v>596.86594674168407</v>
      </c>
      <c r="U305" s="29">
        <v>1351</v>
      </c>
      <c r="V305" s="73" t="s">
        <v>45</v>
      </c>
    </row>
    <row r="306" spans="1:22" s="44" customFormat="1" ht="42" customHeight="1" x14ac:dyDescent="0.25">
      <c r="A306" s="25">
        <v>11</v>
      </c>
      <c r="B306" s="37" t="s">
        <v>394</v>
      </c>
      <c r="C306" s="25" t="s">
        <v>90</v>
      </c>
      <c r="D306" s="25">
        <v>2008</v>
      </c>
      <c r="E306" s="27" t="s">
        <v>40</v>
      </c>
      <c r="F306" s="25" t="s">
        <v>384</v>
      </c>
      <c r="G306" s="28">
        <v>5</v>
      </c>
      <c r="H306" s="28">
        <v>5</v>
      </c>
      <c r="I306" s="29">
        <v>6823.6</v>
      </c>
      <c r="J306" s="29">
        <v>4449.6000000000004</v>
      </c>
      <c r="K306" s="29">
        <f t="shared" si="53"/>
        <v>4449.6000000000004</v>
      </c>
      <c r="L306" s="30">
        <v>126</v>
      </c>
      <c r="M306" s="32">
        <f t="shared" si="51"/>
        <v>1973415</v>
      </c>
      <c r="N306" s="32">
        <v>0</v>
      </c>
      <c r="O306" s="32">
        <v>0</v>
      </c>
      <c r="P306" s="32">
        <v>0</v>
      </c>
      <c r="Q306" s="32">
        <f>'Таблица 3 '!C296</f>
        <v>1973415</v>
      </c>
      <c r="R306" s="32">
        <f t="shared" si="52"/>
        <v>1973415</v>
      </c>
      <c r="S306" s="32">
        <v>0</v>
      </c>
      <c r="T306" s="29">
        <f t="shared" si="45"/>
        <v>443.50391046386187</v>
      </c>
      <c r="U306" s="29">
        <v>1351</v>
      </c>
      <c r="V306" s="73" t="s">
        <v>45</v>
      </c>
    </row>
    <row r="307" spans="1:22" s="44" customFormat="1" ht="42" customHeight="1" x14ac:dyDescent="0.25">
      <c r="A307" s="25">
        <v>12</v>
      </c>
      <c r="B307" s="26" t="s">
        <v>395</v>
      </c>
      <c r="C307" s="25" t="s">
        <v>43</v>
      </c>
      <c r="D307" s="25">
        <v>1972</v>
      </c>
      <c r="E307" s="25" t="s">
        <v>40</v>
      </c>
      <c r="F307" s="25" t="s">
        <v>48</v>
      </c>
      <c r="G307" s="28">
        <v>2</v>
      </c>
      <c r="H307" s="28">
        <v>2</v>
      </c>
      <c r="I307" s="74">
        <v>729</v>
      </c>
      <c r="J307" s="74">
        <v>682.6</v>
      </c>
      <c r="K307" s="74">
        <v>372</v>
      </c>
      <c r="L307" s="64">
        <v>35</v>
      </c>
      <c r="M307" s="32">
        <f t="shared" si="51"/>
        <v>563467.19999999995</v>
      </c>
      <c r="N307" s="32">
        <v>0</v>
      </c>
      <c r="O307" s="32">
        <v>0</v>
      </c>
      <c r="P307" s="32">
        <v>0</v>
      </c>
      <c r="Q307" s="32">
        <f>'Таблица 3 '!C297</f>
        <v>563467.19999999995</v>
      </c>
      <c r="R307" s="32">
        <f t="shared" si="52"/>
        <v>563467.19999999995</v>
      </c>
      <c r="S307" s="32">
        <v>0</v>
      </c>
      <c r="T307" s="29">
        <f t="shared" si="45"/>
        <v>825.47201875183111</v>
      </c>
      <c r="U307" s="29">
        <v>1351</v>
      </c>
      <c r="V307" s="73" t="s">
        <v>45</v>
      </c>
    </row>
    <row r="308" spans="1:22" s="44" customFormat="1" ht="42" customHeight="1" x14ac:dyDescent="0.25">
      <c r="A308" s="25">
        <v>13</v>
      </c>
      <c r="B308" s="26" t="s">
        <v>396</v>
      </c>
      <c r="C308" s="25" t="s">
        <v>43</v>
      </c>
      <c r="D308" s="25">
        <v>1972</v>
      </c>
      <c r="E308" s="27" t="s">
        <v>40</v>
      </c>
      <c r="F308" s="25" t="s">
        <v>48</v>
      </c>
      <c r="G308" s="28">
        <v>2</v>
      </c>
      <c r="H308" s="28">
        <v>2</v>
      </c>
      <c r="I308" s="75">
        <v>716</v>
      </c>
      <c r="J308" s="32">
        <v>646.6</v>
      </c>
      <c r="K308" s="32">
        <v>470.7</v>
      </c>
      <c r="L308" s="35">
        <v>26</v>
      </c>
      <c r="M308" s="32">
        <f t="shared" si="51"/>
        <v>571321.19999999995</v>
      </c>
      <c r="N308" s="32">
        <v>0</v>
      </c>
      <c r="O308" s="32">
        <v>0</v>
      </c>
      <c r="P308" s="32">
        <v>0</v>
      </c>
      <c r="Q308" s="32">
        <f>'Таблица 3 '!C298</f>
        <v>571321.19999999995</v>
      </c>
      <c r="R308" s="32">
        <f t="shared" si="52"/>
        <v>571321.19999999995</v>
      </c>
      <c r="S308" s="32">
        <v>0</v>
      </c>
      <c r="T308" s="29">
        <f t="shared" si="45"/>
        <v>883.57748221466125</v>
      </c>
      <c r="U308" s="29">
        <v>1351</v>
      </c>
      <c r="V308" s="73" t="s">
        <v>45</v>
      </c>
    </row>
    <row r="309" spans="1:22" s="44" customFormat="1" ht="44.25" customHeight="1" x14ac:dyDescent="0.25">
      <c r="A309" s="25">
        <v>14</v>
      </c>
      <c r="B309" s="26" t="s">
        <v>397</v>
      </c>
      <c r="C309" s="25" t="s">
        <v>43</v>
      </c>
      <c r="D309" s="25">
        <v>1972</v>
      </c>
      <c r="E309" s="27" t="s">
        <v>40</v>
      </c>
      <c r="F309" s="25" t="s">
        <v>48</v>
      </c>
      <c r="G309" s="28">
        <v>2</v>
      </c>
      <c r="H309" s="28">
        <v>2</v>
      </c>
      <c r="I309" s="32">
        <v>690.9</v>
      </c>
      <c r="J309" s="32">
        <v>652.4</v>
      </c>
      <c r="K309" s="32">
        <v>474.3</v>
      </c>
      <c r="L309" s="35">
        <v>29</v>
      </c>
      <c r="M309" s="32">
        <f t="shared" si="51"/>
        <v>463123.20000000001</v>
      </c>
      <c r="N309" s="32">
        <v>0</v>
      </c>
      <c r="O309" s="32">
        <v>0</v>
      </c>
      <c r="P309" s="32">
        <v>0</v>
      </c>
      <c r="Q309" s="32">
        <f>'Таблица 3 '!C299</f>
        <v>463123.20000000001</v>
      </c>
      <c r="R309" s="32">
        <f t="shared" si="52"/>
        <v>463123.20000000001</v>
      </c>
      <c r="S309" s="32">
        <v>0</v>
      </c>
      <c r="T309" s="29">
        <f t="shared" si="45"/>
        <v>709.87614960147152</v>
      </c>
      <c r="U309" s="29">
        <f t="shared" si="46"/>
        <v>709.87614960147152</v>
      </c>
      <c r="V309" s="76" t="s">
        <v>45</v>
      </c>
    </row>
    <row r="310" spans="1:22" s="44" customFormat="1" ht="44.25" customHeight="1" x14ac:dyDescent="0.25">
      <c r="A310" s="25">
        <v>15</v>
      </c>
      <c r="B310" s="26" t="s">
        <v>398</v>
      </c>
      <c r="C310" s="25" t="s">
        <v>43</v>
      </c>
      <c r="D310" s="25">
        <v>1975</v>
      </c>
      <c r="E310" s="27" t="s">
        <v>40</v>
      </c>
      <c r="F310" s="25" t="s">
        <v>48</v>
      </c>
      <c r="G310" s="28">
        <v>2</v>
      </c>
      <c r="H310" s="28">
        <v>2</v>
      </c>
      <c r="I310" s="32">
        <v>689.2</v>
      </c>
      <c r="J310" s="32">
        <v>654.9</v>
      </c>
      <c r="K310" s="32">
        <v>623.79999999999995</v>
      </c>
      <c r="L310" s="35">
        <v>17</v>
      </c>
      <c r="M310" s="32">
        <f t="shared" si="51"/>
        <v>472386</v>
      </c>
      <c r="N310" s="32">
        <v>0</v>
      </c>
      <c r="O310" s="32">
        <v>0</v>
      </c>
      <c r="P310" s="32">
        <v>0</v>
      </c>
      <c r="Q310" s="32">
        <f>'Таблица 3 '!C300</f>
        <v>472386</v>
      </c>
      <c r="R310" s="32">
        <f t="shared" si="52"/>
        <v>472386</v>
      </c>
      <c r="S310" s="32">
        <v>0</v>
      </c>
      <c r="T310" s="29">
        <f t="shared" si="45"/>
        <v>721.31012368300503</v>
      </c>
      <c r="U310" s="29">
        <f t="shared" si="46"/>
        <v>721.31012368300503</v>
      </c>
      <c r="V310" s="76" t="s">
        <v>45</v>
      </c>
    </row>
    <row r="311" spans="1:22" s="44" customFormat="1" ht="44.25" customHeight="1" x14ac:dyDescent="0.25">
      <c r="A311" s="25">
        <v>16</v>
      </c>
      <c r="B311" s="26" t="s">
        <v>399</v>
      </c>
      <c r="C311" s="25" t="s">
        <v>43</v>
      </c>
      <c r="D311" s="25">
        <v>1974</v>
      </c>
      <c r="E311" s="25" t="s">
        <v>40</v>
      </c>
      <c r="F311" s="25" t="s">
        <v>48</v>
      </c>
      <c r="G311" s="28">
        <v>5</v>
      </c>
      <c r="H311" s="28">
        <v>6</v>
      </c>
      <c r="I311" s="74">
        <v>658.43</v>
      </c>
      <c r="J311" s="77">
        <v>647.79999999999995</v>
      </c>
      <c r="K311" s="77">
        <v>590.29999999999995</v>
      </c>
      <c r="L311" s="64">
        <v>28</v>
      </c>
      <c r="M311" s="32">
        <f t="shared" si="51"/>
        <v>468603.6</v>
      </c>
      <c r="N311" s="32">
        <v>0</v>
      </c>
      <c r="O311" s="32">
        <v>0</v>
      </c>
      <c r="P311" s="32">
        <v>0</v>
      </c>
      <c r="Q311" s="32">
        <f>'Таблица 3 '!C301</f>
        <v>468603.6</v>
      </c>
      <c r="R311" s="32">
        <f t="shared" si="52"/>
        <v>468603.6</v>
      </c>
      <c r="S311" s="32">
        <v>0</v>
      </c>
      <c r="T311" s="29">
        <f t="shared" si="45"/>
        <v>723.37696820006181</v>
      </c>
      <c r="U311" s="29">
        <v>1351</v>
      </c>
      <c r="V311" s="73" t="s">
        <v>45</v>
      </c>
    </row>
    <row r="312" spans="1:22" s="44" customFormat="1" ht="24" customHeight="1" x14ac:dyDescent="0.25">
      <c r="A312" s="322" t="s">
        <v>400</v>
      </c>
      <c r="B312" s="322"/>
      <c r="C312" s="20" t="s">
        <v>39</v>
      </c>
      <c r="D312" s="20" t="s">
        <v>39</v>
      </c>
      <c r="E312" s="62" t="s">
        <v>39</v>
      </c>
      <c r="F312" s="20" t="s">
        <v>39</v>
      </c>
      <c r="G312" s="20" t="s">
        <v>39</v>
      </c>
      <c r="H312" s="20" t="s">
        <v>39</v>
      </c>
      <c r="I312" s="60">
        <f t="shared" ref="I312:S312" si="54">SUM(I313:I314)</f>
        <v>2077.59</v>
      </c>
      <c r="J312" s="60">
        <f t="shared" si="54"/>
        <v>1839.52</v>
      </c>
      <c r="K312" s="60">
        <f t="shared" si="54"/>
        <v>1707.52</v>
      </c>
      <c r="L312" s="61">
        <f t="shared" si="54"/>
        <v>57</v>
      </c>
      <c r="M312" s="60">
        <f t="shared" si="54"/>
        <v>2246914.9700000002</v>
      </c>
      <c r="N312" s="60">
        <f t="shared" si="54"/>
        <v>0</v>
      </c>
      <c r="O312" s="60">
        <f t="shared" si="54"/>
        <v>0</v>
      </c>
      <c r="P312" s="60">
        <f t="shared" si="54"/>
        <v>0</v>
      </c>
      <c r="Q312" s="60">
        <f t="shared" si="54"/>
        <v>2246914.9700000002</v>
      </c>
      <c r="R312" s="60">
        <f t="shared" si="54"/>
        <v>2246914.9700000002</v>
      </c>
      <c r="S312" s="60">
        <f t="shared" si="54"/>
        <v>0</v>
      </c>
      <c r="T312" s="24" t="s">
        <v>39</v>
      </c>
      <c r="U312" s="24" t="s">
        <v>39</v>
      </c>
      <c r="V312" s="20" t="s">
        <v>39</v>
      </c>
    </row>
    <row r="313" spans="1:22" s="44" customFormat="1" ht="42" customHeight="1" x14ac:dyDescent="0.25">
      <c r="A313" s="28">
        <v>1</v>
      </c>
      <c r="B313" s="38" t="s">
        <v>401</v>
      </c>
      <c r="C313" s="25" t="s">
        <v>43</v>
      </c>
      <c r="D313" s="28">
        <v>1979</v>
      </c>
      <c r="E313" s="63" t="s">
        <v>39</v>
      </c>
      <c r="F313" s="25" t="s">
        <v>77</v>
      </c>
      <c r="G313" s="28">
        <v>2</v>
      </c>
      <c r="H313" s="28">
        <v>3</v>
      </c>
      <c r="I313" s="29">
        <v>988.89</v>
      </c>
      <c r="J313" s="29">
        <v>856.74</v>
      </c>
      <c r="K313" s="29">
        <v>856.74</v>
      </c>
      <c r="L313" s="30">
        <v>29</v>
      </c>
      <c r="M313" s="29">
        <f t="shared" ref="M313:M314" si="55">SUM(N313:Q313)</f>
        <v>1043035.16</v>
      </c>
      <c r="N313" s="29">
        <v>0</v>
      </c>
      <c r="O313" s="29">
        <v>0</v>
      </c>
      <c r="P313" s="29">
        <v>0</v>
      </c>
      <c r="Q313" s="29">
        <f>'Таблица 3 '!C303</f>
        <v>1043035.16</v>
      </c>
      <c r="R313" s="29">
        <f t="shared" ref="R313:R314" si="56">Q313</f>
        <v>1043035.16</v>
      </c>
      <c r="S313" s="29">
        <v>0</v>
      </c>
      <c r="T313" s="29">
        <f t="shared" si="45"/>
        <v>1217.4465532133436</v>
      </c>
      <c r="U313" s="29">
        <f t="shared" si="46"/>
        <v>1217.4465532133436</v>
      </c>
      <c r="V313" s="33" t="s">
        <v>45</v>
      </c>
    </row>
    <row r="314" spans="1:22" s="44" customFormat="1" ht="42" customHeight="1" x14ac:dyDescent="0.25">
      <c r="A314" s="28">
        <v>2</v>
      </c>
      <c r="B314" s="38" t="s">
        <v>402</v>
      </c>
      <c r="C314" s="25" t="s">
        <v>43</v>
      </c>
      <c r="D314" s="28">
        <v>1979</v>
      </c>
      <c r="E314" s="63" t="s">
        <v>39</v>
      </c>
      <c r="F314" s="25" t="s">
        <v>77</v>
      </c>
      <c r="G314" s="28">
        <v>2</v>
      </c>
      <c r="H314" s="28">
        <v>3</v>
      </c>
      <c r="I314" s="29">
        <v>1088.7</v>
      </c>
      <c r="J314" s="29">
        <v>982.78</v>
      </c>
      <c r="K314" s="29">
        <v>850.78</v>
      </c>
      <c r="L314" s="30">
        <v>28</v>
      </c>
      <c r="M314" s="29">
        <f t="shared" si="55"/>
        <v>1203879.81</v>
      </c>
      <c r="N314" s="29">
        <v>0</v>
      </c>
      <c r="O314" s="29">
        <v>0</v>
      </c>
      <c r="P314" s="29">
        <v>0</v>
      </c>
      <c r="Q314" s="29">
        <f>'Таблица 3 '!C304</f>
        <v>1203879.81</v>
      </c>
      <c r="R314" s="29">
        <f t="shared" si="56"/>
        <v>1203879.81</v>
      </c>
      <c r="S314" s="29">
        <v>0</v>
      </c>
      <c r="T314" s="29">
        <f t="shared" si="45"/>
        <v>1224.9738598669082</v>
      </c>
      <c r="U314" s="29">
        <f t="shared" si="46"/>
        <v>1224.9738598669082</v>
      </c>
      <c r="V314" s="33" t="s">
        <v>45</v>
      </c>
    </row>
    <row r="315" spans="1:22" s="44" customFormat="1" ht="24.75" customHeight="1" x14ac:dyDescent="0.25">
      <c r="A315" s="322" t="s">
        <v>403</v>
      </c>
      <c r="B315" s="322"/>
      <c r="C315" s="18" t="s">
        <v>39</v>
      </c>
      <c r="D315" s="20" t="s">
        <v>39</v>
      </c>
      <c r="E315" s="62" t="s">
        <v>39</v>
      </c>
      <c r="F315" s="18" t="s">
        <v>39</v>
      </c>
      <c r="G315" s="20" t="s">
        <v>39</v>
      </c>
      <c r="H315" s="20" t="s">
        <v>39</v>
      </c>
      <c r="I315" s="60">
        <f t="shared" ref="I315:S315" si="57">SUM(I316:I317)</f>
        <v>2507.6</v>
      </c>
      <c r="J315" s="60">
        <f t="shared" si="57"/>
        <v>1525.6</v>
      </c>
      <c r="K315" s="60">
        <f t="shared" si="57"/>
        <v>1407.3</v>
      </c>
      <c r="L315" s="61">
        <f t="shared" si="57"/>
        <v>62</v>
      </c>
      <c r="M315" s="60">
        <f t="shared" si="57"/>
        <v>1575708.7</v>
      </c>
      <c r="N315" s="60">
        <f t="shared" si="57"/>
        <v>0</v>
      </c>
      <c r="O315" s="60">
        <f t="shared" si="57"/>
        <v>0</v>
      </c>
      <c r="P315" s="60">
        <f t="shared" si="57"/>
        <v>0</v>
      </c>
      <c r="Q315" s="60">
        <f t="shared" si="57"/>
        <v>1575708.7</v>
      </c>
      <c r="R315" s="60">
        <f t="shared" si="57"/>
        <v>1575708.7</v>
      </c>
      <c r="S315" s="60">
        <f t="shared" si="57"/>
        <v>0</v>
      </c>
      <c r="T315" s="24" t="s">
        <v>39</v>
      </c>
      <c r="U315" s="24" t="s">
        <v>39</v>
      </c>
      <c r="V315" s="20" t="s">
        <v>39</v>
      </c>
    </row>
    <row r="316" spans="1:22" s="44" customFormat="1" ht="50.25" customHeight="1" x14ac:dyDescent="0.25">
      <c r="A316" s="25">
        <v>1</v>
      </c>
      <c r="B316" s="38" t="s">
        <v>404</v>
      </c>
      <c r="C316" s="25" t="s">
        <v>43</v>
      </c>
      <c r="D316" s="28">
        <v>1979</v>
      </c>
      <c r="E316" s="63">
        <v>2023</v>
      </c>
      <c r="F316" s="25" t="s">
        <v>77</v>
      </c>
      <c r="G316" s="28">
        <v>2</v>
      </c>
      <c r="H316" s="28">
        <v>3</v>
      </c>
      <c r="I316" s="29">
        <v>1454.5</v>
      </c>
      <c r="J316" s="29">
        <v>965.1</v>
      </c>
      <c r="K316" s="29">
        <v>846.8</v>
      </c>
      <c r="L316" s="30">
        <v>39</v>
      </c>
      <c r="M316" s="29">
        <f t="shared" ref="M316:M317" si="58">SUM(N316:Q316)</f>
        <v>942984.61</v>
      </c>
      <c r="N316" s="29">
        <v>0</v>
      </c>
      <c r="O316" s="29">
        <v>0</v>
      </c>
      <c r="P316" s="29">
        <v>0</v>
      </c>
      <c r="Q316" s="29">
        <f>'Таблица 3 '!C306</f>
        <v>942984.61</v>
      </c>
      <c r="R316" s="29">
        <f t="shared" ref="R316:R317" si="59">Q316</f>
        <v>942984.61</v>
      </c>
      <c r="S316" s="29">
        <v>0</v>
      </c>
      <c r="T316" s="29">
        <f t="shared" si="45"/>
        <v>977.08487203398613</v>
      </c>
      <c r="U316" s="29">
        <f t="shared" si="46"/>
        <v>977.08487203398613</v>
      </c>
      <c r="V316" s="33" t="s">
        <v>45</v>
      </c>
    </row>
    <row r="317" spans="1:22" s="44" customFormat="1" ht="42" customHeight="1" x14ac:dyDescent="0.25">
      <c r="A317" s="25">
        <v>2</v>
      </c>
      <c r="B317" s="26" t="s">
        <v>405</v>
      </c>
      <c r="C317" s="25" t="s">
        <v>43</v>
      </c>
      <c r="D317" s="25" t="s">
        <v>137</v>
      </c>
      <c r="E317" s="27">
        <v>2023</v>
      </c>
      <c r="F317" s="25" t="s">
        <v>77</v>
      </c>
      <c r="G317" s="28">
        <v>2</v>
      </c>
      <c r="H317" s="28">
        <v>2</v>
      </c>
      <c r="I317" s="32">
        <v>1053.0999999999999</v>
      </c>
      <c r="J317" s="32">
        <v>560.5</v>
      </c>
      <c r="K317" s="32">
        <v>560.5</v>
      </c>
      <c r="L317" s="35">
        <v>23</v>
      </c>
      <c r="M317" s="29">
        <f t="shared" si="58"/>
        <v>632724.09</v>
      </c>
      <c r="N317" s="29">
        <v>0</v>
      </c>
      <c r="O317" s="29">
        <v>0</v>
      </c>
      <c r="P317" s="29">
        <v>0</v>
      </c>
      <c r="Q317" s="29">
        <f>'Таблица 3 '!C307</f>
        <v>632724.09</v>
      </c>
      <c r="R317" s="29">
        <f t="shared" si="59"/>
        <v>632724.09</v>
      </c>
      <c r="S317" s="29">
        <v>0</v>
      </c>
      <c r="T317" s="29">
        <f t="shared" si="45"/>
        <v>1128.8565388046386</v>
      </c>
      <c r="U317" s="29">
        <f t="shared" si="46"/>
        <v>1128.8565388046386</v>
      </c>
      <c r="V317" s="33" t="s">
        <v>45</v>
      </c>
    </row>
    <row r="318" spans="1:22" s="44" customFormat="1" ht="25.5" customHeight="1" x14ac:dyDescent="0.25">
      <c r="A318" s="322" t="s">
        <v>406</v>
      </c>
      <c r="B318" s="322"/>
      <c r="C318" s="18" t="s">
        <v>39</v>
      </c>
      <c r="D318" s="18" t="s">
        <v>39</v>
      </c>
      <c r="E318" s="19" t="s">
        <v>39</v>
      </c>
      <c r="F318" s="18" t="s">
        <v>39</v>
      </c>
      <c r="G318" s="20" t="s">
        <v>39</v>
      </c>
      <c r="H318" s="20" t="s">
        <v>39</v>
      </c>
      <c r="I318" s="60">
        <f t="shared" ref="I318:S318" si="60">SUM(I319:I323)</f>
        <v>14553.2</v>
      </c>
      <c r="J318" s="60">
        <f t="shared" si="60"/>
        <v>11596.2</v>
      </c>
      <c r="K318" s="60">
        <f t="shared" si="60"/>
        <v>0</v>
      </c>
      <c r="L318" s="61">
        <f t="shared" si="60"/>
        <v>200</v>
      </c>
      <c r="M318" s="60">
        <f t="shared" si="60"/>
        <v>70642855.790000007</v>
      </c>
      <c r="N318" s="60">
        <f t="shared" si="60"/>
        <v>0</v>
      </c>
      <c r="O318" s="60">
        <f t="shared" si="60"/>
        <v>0</v>
      </c>
      <c r="P318" s="60">
        <f t="shared" si="60"/>
        <v>0</v>
      </c>
      <c r="Q318" s="60">
        <f t="shared" si="60"/>
        <v>70642855.790000007</v>
      </c>
      <c r="R318" s="60">
        <f t="shared" si="60"/>
        <v>70642855.790000007</v>
      </c>
      <c r="S318" s="60">
        <f t="shared" si="60"/>
        <v>0</v>
      </c>
      <c r="T318" s="24" t="s">
        <v>39</v>
      </c>
      <c r="U318" s="24" t="s">
        <v>39</v>
      </c>
      <c r="V318" s="20" t="s">
        <v>39</v>
      </c>
    </row>
    <row r="319" spans="1:22" s="44" customFormat="1" ht="45" x14ac:dyDescent="0.25">
      <c r="A319" s="25">
        <v>1</v>
      </c>
      <c r="B319" s="37" t="s">
        <v>407</v>
      </c>
      <c r="C319" s="25" t="s">
        <v>43</v>
      </c>
      <c r="D319" s="25">
        <v>1967</v>
      </c>
      <c r="E319" s="27" t="s">
        <v>39</v>
      </c>
      <c r="F319" s="25" t="s">
        <v>48</v>
      </c>
      <c r="G319" s="28">
        <v>5</v>
      </c>
      <c r="H319" s="28">
        <v>3</v>
      </c>
      <c r="I319" s="29">
        <v>3199</v>
      </c>
      <c r="J319" s="29">
        <v>2083.4</v>
      </c>
      <c r="K319" s="29">
        <v>0</v>
      </c>
      <c r="L319" s="30">
        <v>10</v>
      </c>
      <c r="M319" s="31">
        <f t="shared" ref="M319:M323" si="61">SUM(N319:Q319)</f>
        <v>279124.94</v>
      </c>
      <c r="N319" s="29">
        <v>0</v>
      </c>
      <c r="O319" s="29">
        <v>0</v>
      </c>
      <c r="P319" s="29">
        <v>0</v>
      </c>
      <c r="Q319" s="31">
        <f>'Таблица 3 '!C309</f>
        <v>279124.94</v>
      </c>
      <c r="R319" s="29">
        <f t="shared" ref="R319:R323" si="62">Q319</f>
        <v>279124.94</v>
      </c>
      <c r="S319" s="29">
        <v>0</v>
      </c>
      <c r="T319" s="29">
        <f t="shared" si="45"/>
        <v>133.9756839781127</v>
      </c>
      <c r="U319" s="29">
        <f t="shared" si="46"/>
        <v>133.9756839781127</v>
      </c>
      <c r="V319" s="33" t="s">
        <v>45</v>
      </c>
    </row>
    <row r="320" spans="1:22" s="44" customFormat="1" ht="42.75" customHeight="1" x14ac:dyDescent="0.25">
      <c r="A320" s="25">
        <v>2</v>
      </c>
      <c r="B320" s="37" t="s">
        <v>408</v>
      </c>
      <c r="C320" s="25" t="s">
        <v>43</v>
      </c>
      <c r="D320" s="25">
        <v>1971</v>
      </c>
      <c r="E320" s="27" t="s">
        <v>39</v>
      </c>
      <c r="F320" s="25" t="s">
        <v>48</v>
      </c>
      <c r="G320" s="28">
        <v>4</v>
      </c>
      <c r="H320" s="28">
        <v>3</v>
      </c>
      <c r="I320" s="29">
        <v>2079</v>
      </c>
      <c r="J320" s="29">
        <v>2067.1999999999998</v>
      </c>
      <c r="K320" s="29">
        <v>0</v>
      </c>
      <c r="L320" s="30">
        <v>40</v>
      </c>
      <c r="M320" s="31">
        <f t="shared" si="61"/>
        <v>18523667.609999999</v>
      </c>
      <c r="N320" s="29">
        <v>0</v>
      </c>
      <c r="O320" s="29">
        <v>0</v>
      </c>
      <c r="P320" s="29">
        <v>0</v>
      </c>
      <c r="Q320" s="31">
        <f>'Таблица 3 '!C310</f>
        <v>18523667.609999999</v>
      </c>
      <c r="R320" s="29">
        <f t="shared" si="62"/>
        <v>18523667.609999999</v>
      </c>
      <c r="S320" s="29">
        <v>0</v>
      </c>
      <c r="T320" s="29">
        <f t="shared" si="45"/>
        <v>8960.7525203173373</v>
      </c>
      <c r="U320" s="29">
        <f t="shared" si="46"/>
        <v>8960.7525203173373</v>
      </c>
      <c r="V320" s="33" t="s">
        <v>45</v>
      </c>
    </row>
    <row r="321" spans="1:22" s="44" customFormat="1" ht="42.75" customHeight="1" x14ac:dyDescent="0.25">
      <c r="A321" s="25">
        <v>3</v>
      </c>
      <c r="B321" s="37" t="s">
        <v>409</v>
      </c>
      <c r="C321" s="25" t="s">
        <v>43</v>
      </c>
      <c r="D321" s="25">
        <v>1975</v>
      </c>
      <c r="E321" s="27" t="s">
        <v>39</v>
      </c>
      <c r="F321" s="25" t="s">
        <v>48</v>
      </c>
      <c r="G321" s="28">
        <v>4</v>
      </c>
      <c r="H321" s="28">
        <v>3</v>
      </c>
      <c r="I321" s="29">
        <v>3047.7</v>
      </c>
      <c r="J321" s="29">
        <v>2487.6</v>
      </c>
      <c r="K321" s="29">
        <v>0</v>
      </c>
      <c r="L321" s="30">
        <v>50</v>
      </c>
      <c r="M321" s="31">
        <f t="shared" si="61"/>
        <v>20390700.16</v>
      </c>
      <c r="N321" s="29">
        <v>0</v>
      </c>
      <c r="O321" s="29">
        <v>0</v>
      </c>
      <c r="P321" s="29">
        <v>0</v>
      </c>
      <c r="Q321" s="31">
        <f>'Таблица 3 '!C311</f>
        <v>20390700.16</v>
      </c>
      <c r="R321" s="29">
        <f t="shared" si="62"/>
        <v>20390700.16</v>
      </c>
      <c r="S321" s="29">
        <v>0</v>
      </c>
      <c r="T321" s="29">
        <f t="shared" si="45"/>
        <v>8196.9368708795628</v>
      </c>
      <c r="U321" s="29">
        <f t="shared" si="46"/>
        <v>8196.9368708795628</v>
      </c>
      <c r="V321" s="33" t="s">
        <v>45</v>
      </c>
    </row>
    <row r="322" spans="1:22" s="44" customFormat="1" ht="42.75" customHeight="1" x14ac:dyDescent="0.25">
      <c r="A322" s="25">
        <v>4</v>
      </c>
      <c r="B322" s="37" t="s">
        <v>410</v>
      </c>
      <c r="C322" s="25" t="s">
        <v>43</v>
      </c>
      <c r="D322" s="25">
        <v>1973</v>
      </c>
      <c r="E322" s="27" t="s">
        <v>39</v>
      </c>
      <c r="F322" s="25" t="s">
        <v>48</v>
      </c>
      <c r="G322" s="28">
        <v>5</v>
      </c>
      <c r="H322" s="28">
        <v>2</v>
      </c>
      <c r="I322" s="29">
        <v>2847</v>
      </c>
      <c r="J322" s="29">
        <v>1771</v>
      </c>
      <c r="K322" s="29">
        <v>0</v>
      </c>
      <c r="L322" s="30">
        <v>40</v>
      </c>
      <c r="M322" s="31">
        <f t="shared" si="61"/>
        <v>11053795.560000001</v>
      </c>
      <c r="N322" s="29">
        <v>0</v>
      </c>
      <c r="O322" s="29">
        <v>0</v>
      </c>
      <c r="P322" s="29">
        <v>0</v>
      </c>
      <c r="Q322" s="31">
        <f>'Таблица 3 '!C312</f>
        <v>11053795.560000001</v>
      </c>
      <c r="R322" s="29">
        <f t="shared" si="62"/>
        <v>11053795.560000001</v>
      </c>
      <c r="S322" s="29">
        <v>0</v>
      </c>
      <c r="T322" s="29">
        <f t="shared" si="45"/>
        <v>6241.555934500283</v>
      </c>
      <c r="U322" s="29">
        <f t="shared" si="46"/>
        <v>6241.555934500283</v>
      </c>
      <c r="V322" s="33" t="s">
        <v>45</v>
      </c>
    </row>
    <row r="323" spans="1:22" s="44" customFormat="1" ht="42.75" customHeight="1" x14ac:dyDescent="0.25">
      <c r="A323" s="25">
        <v>5</v>
      </c>
      <c r="B323" s="37" t="s">
        <v>411</v>
      </c>
      <c r="C323" s="25" t="s">
        <v>43</v>
      </c>
      <c r="D323" s="25">
        <v>1972</v>
      </c>
      <c r="E323" s="27" t="s">
        <v>39</v>
      </c>
      <c r="F323" s="25" t="s">
        <v>48</v>
      </c>
      <c r="G323" s="28">
        <v>5</v>
      </c>
      <c r="H323" s="28">
        <v>3</v>
      </c>
      <c r="I323" s="29">
        <v>3380.5</v>
      </c>
      <c r="J323" s="29">
        <v>3187</v>
      </c>
      <c r="K323" s="29">
        <v>0</v>
      </c>
      <c r="L323" s="30">
        <v>60</v>
      </c>
      <c r="M323" s="31">
        <f t="shared" si="61"/>
        <v>20395567.52</v>
      </c>
      <c r="N323" s="29">
        <v>0</v>
      </c>
      <c r="O323" s="29">
        <v>0</v>
      </c>
      <c r="P323" s="29">
        <v>0</v>
      </c>
      <c r="Q323" s="31">
        <f>'Таблица 3 '!C313</f>
        <v>20395567.52</v>
      </c>
      <c r="R323" s="29">
        <f t="shared" si="62"/>
        <v>20395567.52</v>
      </c>
      <c r="S323" s="29">
        <v>0</v>
      </c>
      <c r="T323" s="29">
        <f t="shared" si="45"/>
        <v>6399.613278945717</v>
      </c>
      <c r="U323" s="29">
        <f t="shared" si="46"/>
        <v>6399.613278945717</v>
      </c>
      <c r="V323" s="33" t="s">
        <v>45</v>
      </c>
    </row>
    <row r="324" spans="1:22" s="44" customFormat="1" ht="24" customHeight="1" x14ac:dyDescent="0.25">
      <c r="A324" s="326" t="s">
        <v>412</v>
      </c>
      <c r="B324" s="326"/>
      <c r="C324" s="78" t="s">
        <v>39</v>
      </c>
      <c r="D324" s="79" t="s">
        <v>39</v>
      </c>
      <c r="E324" s="80" t="s">
        <v>39</v>
      </c>
      <c r="F324" s="78" t="s">
        <v>39</v>
      </c>
      <c r="G324" s="81" t="s">
        <v>39</v>
      </c>
      <c r="H324" s="81" t="s">
        <v>39</v>
      </c>
      <c r="I324" s="66">
        <f t="shared" ref="I324:S324" si="63">SUM(I325:I337)</f>
        <v>39328.300000000003</v>
      </c>
      <c r="J324" s="66">
        <f t="shared" si="63"/>
        <v>35735.200000000004</v>
      </c>
      <c r="K324" s="66">
        <f t="shared" si="63"/>
        <v>34188.800000000003</v>
      </c>
      <c r="L324" s="67">
        <f t="shared" si="63"/>
        <v>1564</v>
      </c>
      <c r="M324" s="66">
        <f t="shared" si="63"/>
        <v>47136180.99000001</v>
      </c>
      <c r="N324" s="66">
        <f t="shared" si="63"/>
        <v>0</v>
      </c>
      <c r="O324" s="66">
        <f t="shared" si="63"/>
        <v>0</v>
      </c>
      <c r="P324" s="66">
        <f t="shared" si="63"/>
        <v>0</v>
      </c>
      <c r="Q324" s="66">
        <f t="shared" si="63"/>
        <v>47136180.99000001</v>
      </c>
      <c r="R324" s="66">
        <f t="shared" si="63"/>
        <v>47136180.99000001</v>
      </c>
      <c r="S324" s="66">
        <f t="shared" si="63"/>
        <v>0</v>
      </c>
      <c r="T324" s="24" t="s">
        <v>39</v>
      </c>
      <c r="U324" s="24" t="s">
        <v>39</v>
      </c>
      <c r="V324" s="20" t="s">
        <v>39</v>
      </c>
    </row>
    <row r="325" spans="1:22" s="44" customFormat="1" ht="45" customHeight="1" x14ac:dyDescent="0.25">
      <c r="A325" s="25">
        <v>1</v>
      </c>
      <c r="B325" s="82" t="s">
        <v>413</v>
      </c>
      <c r="C325" s="25" t="s">
        <v>43</v>
      </c>
      <c r="D325" s="27">
        <v>1977</v>
      </c>
      <c r="E325" s="27" t="s">
        <v>63</v>
      </c>
      <c r="F325" s="25" t="s">
        <v>77</v>
      </c>
      <c r="G325" s="28" t="s">
        <v>414</v>
      </c>
      <c r="H325" s="28" t="s">
        <v>415</v>
      </c>
      <c r="I325" s="75">
        <v>3159.1</v>
      </c>
      <c r="J325" s="32">
        <v>2780.2</v>
      </c>
      <c r="K325" s="32">
        <v>2626.4</v>
      </c>
      <c r="L325" s="35">
        <v>103</v>
      </c>
      <c r="M325" s="31">
        <f t="shared" ref="M325:M337" si="64">SUM(N325:Q325)</f>
        <v>328715.19</v>
      </c>
      <c r="N325" s="32">
        <v>0</v>
      </c>
      <c r="O325" s="32">
        <v>0</v>
      </c>
      <c r="P325" s="32">
        <v>0</v>
      </c>
      <c r="Q325" s="29">
        <f>'Таблица 3 '!C315</f>
        <v>328715.19</v>
      </c>
      <c r="R325" s="32">
        <f t="shared" ref="R325:R337" si="65">Q325</f>
        <v>328715.19</v>
      </c>
      <c r="S325" s="32">
        <v>0</v>
      </c>
      <c r="T325" s="32">
        <f t="shared" si="45"/>
        <v>118.23436803107691</v>
      </c>
      <c r="U325" s="83">
        <f t="shared" si="46"/>
        <v>118.23436803107691</v>
      </c>
      <c r="V325" s="33" t="s">
        <v>45</v>
      </c>
    </row>
    <row r="326" spans="1:22" s="44" customFormat="1" ht="48" customHeight="1" x14ac:dyDescent="0.25">
      <c r="A326" s="25">
        <v>2</v>
      </c>
      <c r="B326" s="26" t="s">
        <v>416</v>
      </c>
      <c r="C326" s="25" t="s">
        <v>43</v>
      </c>
      <c r="D326" s="27">
        <v>1992</v>
      </c>
      <c r="E326" s="27">
        <v>2018</v>
      </c>
      <c r="F326" s="25" t="s">
        <v>77</v>
      </c>
      <c r="G326" s="28" t="s">
        <v>414</v>
      </c>
      <c r="H326" s="28" t="s">
        <v>415</v>
      </c>
      <c r="I326" s="29">
        <v>4378.2</v>
      </c>
      <c r="J326" s="29">
        <v>3819.9</v>
      </c>
      <c r="K326" s="29">
        <v>3601.6</v>
      </c>
      <c r="L326" s="30">
        <v>146</v>
      </c>
      <c r="M326" s="31">
        <f t="shared" si="64"/>
        <v>7827952.0399999991</v>
      </c>
      <c r="N326" s="32">
        <v>0</v>
      </c>
      <c r="O326" s="32">
        <v>0</v>
      </c>
      <c r="P326" s="32">
        <v>0</v>
      </c>
      <c r="Q326" s="29">
        <f>'Таблица 3 '!C316</f>
        <v>7827952.0399999991</v>
      </c>
      <c r="R326" s="32">
        <f t="shared" si="65"/>
        <v>7827952.0399999991</v>
      </c>
      <c r="S326" s="29">
        <v>0</v>
      </c>
      <c r="T326" s="32">
        <f t="shared" si="45"/>
        <v>2049.2557501505271</v>
      </c>
      <c r="U326" s="83">
        <f t="shared" si="46"/>
        <v>2049.2557501505271</v>
      </c>
      <c r="V326" s="33" t="s">
        <v>45</v>
      </c>
    </row>
    <row r="327" spans="1:22" s="44" customFormat="1" ht="48" customHeight="1" x14ac:dyDescent="0.25">
      <c r="A327" s="25">
        <v>3</v>
      </c>
      <c r="B327" s="37" t="s">
        <v>417</v>
      </c>
      <c r="C327" s="25" t="s">
        <v>43</v>
      </c>
      <c r="D327" s="27">
        <v>1968</v>
      </c>
      <c r="E327" s="27" t="s">
        <v>39</v>
      </c>
      <c r="F327" s="25" t="s">
        <v>48</v>
      </c>
      <c r="G327" s="28" t="s">
        <v>414</v>
      </c>
      <c r="H327" s="28" t="s">
        <v>415</v>
      </c>
      <c r="I327" s="29">
        <v>3338.5</v>
      </c>
      <c r="J327" s="29">
        <v>3262.9</v>
      </c>
      <c r="K327" s="29">
        <v>2752.4</v>
      </c>
      <c r="L327" s="30">
        <v>179</v>
      </c>
      <c r="M327" s="31">
        <f t="shared" si="64"/>
        <v>7111285.0199999996</v>
      </c>
      <c r="N327" s="32">
        <v>0</v>
      </c>
      <c r="O327" s="32">
        <v>0</v>
      </c>
      <c r="P327" s="32">
        <v>0</v>
      </c>
      <c r="Q327" s="29">
        <f>'Таблица 3 '!C317</f>
        <v>7111285.0199999996</v>
      </c>
      <c r="R327" s="32">
        <f t="shared" si="65"/>
        <v>7111285.0199999996</v>
      </c>
      <c r="S327" s="29">
        <v>0</v>
      </c>
      <c r="T327" s="32">
        <f t="shared" si="45"/>
        <v>2179.4370100217598</v>
      </c>
      <c r="U327" s="83">
        <f t="shared" si="46"/>
        <v>2179.4370100217598</v>
      </c>
      <c r="V327" s="33" t="s">
        <v>45</v>
      </c>
    </row>
    <row r="328" spans="1:22" s="44" customFormat="1" ht="48" customHeight="1" x14ac:dyDescent="0.25">
      <c r="A328" s="25">
        <v>4</v>
      </c>
      <c r="B328" s="37" t="s">
        <v>418</v>
      </c>
      <c r="C328" s="25" t="s">
        <v>43</v>
      </c>
      <c r="D328" s="25">
        <v>1962</v>
      </c>
      <c r="E328" s="27" t="s">
        <v>40</v>
      </c>
      <c r="F328" s="25" t="s">
        <v>44</v>
      </c>
      <c r="G328" s="28">
        <v>4</v>
      </c>
      <c r="H328" s="28">
        <v>2</v>
      </c>
      <c r="I328" s="32">
        <v>1364.9</v>
      </c>
      <c r="J328" s="32">
        <v>1200.7</v>
      </c>
      <c r="K328" s="32">
        <v>1198.5</v>
      </c>
      <c r="L328" s="35">
        <v>53</v>
      </c>
      <c r="M328" s="31">
        <f t="shared" si="64"/>
        <v>266053.58</v>
      </c>
      <c r="N328" s="32">
        <v>0</v>
      </c>
      <c r="O328" s="32">
        <v>0</v>
      </c>
      <c r="P328" s="32">
        <v>0</v>
      </c>
      <c r="Q328" s="29">
        <f>'Таблица 3 '!C318</f>
        <v>266053.58</v>
      </c>
      <c r="R328" s="32">
        <f t="shared" si="65"/>
        <v>266053.58</v>
      </c>
      <c r="S328" s="29">
        <v>0</v>
      </c>
      <c r="T328" s="32">
        <f t="shared" si="45"/>
        <v>221.58206046472893</v>
      </c>
      <c r="U328" s="83">
        <f t="shared" si="46"/>
        <v>221.58206046472893</v>
      </c>
      <c r="V328" s="33" t="s">
        <v>45</v>
      </c>
    </row>
    <row r="329" spans="1:22" s="44" customFormat="1" ht="48" customHeight="1" x14ac:dyDescent="0.25">
      <c r="A329" s="25">
        <v>5</v>
      </c>
      <c r="B329" s="26" t="s">
        <v>419</v>
      </c>
      <c r="C329" s="25" t="s">
        <v>43</v>
      </c>
      <c r="D329" s="27">
        <v>1960</v>
      </c>
      <c r="E329" s="27" t="s">
        <v>39</v>
      </c>
      <c r="F329" s="25" t="s">
        <v>77</v>
      </c>
      <c r="G329" s="28" t="s">
        <v>420</v>
      </c>
      <c r="H329" s="28" t="s">
        <v>420</v>
      </c>
      <c r="I329" s="29">
        <v>652.29999999999995</v>
      </c>
      <c r="J329" s="29">
        <v>628.29999999999995</v>
      </c>
      <c r="K329" s="29">
        <v>587</v>
      </c>
      <c r="L329" s="30">
        <v>38</v>
      </c>
      <c r="M329" s="31">
        <f t="shared" si="64"/>
        <v>635329.49</v>
      </c>
      <c r="N329" s="32">
        <v>0</v>
      </c>
      <c r="O329" s="32">
        <v>0</v>
      </c>
      <c r="P329" s="32">
        <v>0</v>
      </c>
      <c r="Q329" s="29">
        <f>'Таблица 3 '!C319</f>
        <v>635329.49</v>
      </c>
      <c r="R329" s="32">
        <f t="shared" si="65"/>
        <v>635329.49</v>
      </c>
      <c r="S329" s="29">
        <v>0</v>
      </c>
      <c r="T329" s="32">
        <f t="shared" si="45"/>
        <v>1011.1881107751075</v>
      </c>
      <c r="U329" s="83">
        <f t="shared" si="46"/>
        <v>1011.1881107751075</v>
      </c>
      <c r="V329" s="33" t="s">
        <v>45</v>
      </c>
    </row>
    <row r="330" spans="1:22" s="44" customFormat="1" ht="48" customHeight="1" x14ac:dyDescent="0.25">
      <c r="A330" s="25">
        <v>6</v>
      </c>
      <c r="B330" s="26" t="s">
        <v>421</v>
      </c>
      <c r="C330" s="25" t="s">
        <v>43</v>
      </c>
      <c r="D330" s="27">
        <v>1988</v>
      </c>
      <c r="E330" s="27">
        <v>2018</v>
      </c>
      <c r="F330" s="25" t="s">
        <v>77</v>
      </c>
      <c r="G330" s="28" t="s">
        <v>422</v>
      </c>
      <c r="H330" s="28" t="s">
        <v>415</v>
      </c>
      <c r="I330" s="29">
        <v>4979.1000000000004</v>
      </c>
      <c r="J330" s="29">
        <v>4358.2</v>
      </c>
      <c r="K330" s="29">
        <v>4358.2</v>
      </c>
      <c r="L330" s="30">
        <v>186</v>
      </c>
      <c r="M330" s="31">
        <f t="shared" si="64"/>
        <v>27543608.879999999</v>
      </c>
      <c r="N330" s="32">
        <v>0</v>
      </c>
      <c r="O330" s="32">
        <v>0</v>
      </c>
      <c r="P330" s="32">
        <v>0</v>
      </c>
      <c r="Q330" s="29">
        <f>'Таблица 3 '!C320</f>
        <v>27543608.879999999</v>
      </c>
      <c r="R330" s="32">
        <f t="shared" si="65"/>
        <v>27543608.879999999</v>
      </c>
      <c r="S330" s="29">
        <v>0</v>
      </c>
      <c r="T330" s="32">
        <f t="shared" si="45"/>
        <v>6319.9506401725484</v>
      </c>
      <c r="U330" s="83">
        <f t="shared" si="46"/>
        <v>6319.9506401725484</v>
      </c>
      <c r="V330" s="33" t="s">
        <v>45</v>
      </c>
    </row>
    <row r="331" spans="1:22" s="44" customFormat="1" ht="48" customHeight="1" x14ac:dyDescent="0.25">
      <c r="A331" s="25">
        <v>7</v>
      </c>
      <c r="B331" s="26" t="s">
        <v>423</v>
      </c>
      <c r="C331" s="25" t="s">
        <v>43</v>
      </c>
      <c r="D331" s="27">
        <v>1967</v>
      </c>
      <c r="E331" s="27" t="s">
        <v>63</v>
      </c>
      <c r="F331" s="25" t="s">
        <v>77</v>
      </c>
      <c r="G331" s="28" t="s">
        <v>414</v>
      </c>
      <c r="H331" s="28" t="s">
        <v>415</v>
      </c>
      <c r="I331" s="75">
        <v>3677.3</v>
      </c>
      <c r="J331" s="32">
        <v>3377.2</v>
      </c>
      <c r="K331" s="32">
        <v>3287.4</v>
      </c>
      <c r="L331" s="35">
        <v>150</v>
      </c>
      <c r="M331" s="31">
        <f t="shared" si="64"/>
        <v>301979.03000000003</v>
      </c>
      <c r="N331" s="32">
        <v>0</v>
      </c>
      <c r="O331" s="32">
        <v>0</v>
      </c>
      <c r="P331" s="32">
        <v>0</v>
      </c>
      <c r="Q331" s="29">
        <f>'Таблица 3 '!C321</f>
        <v>301979.03000000003</v>
      </c>
      <c r="R331" s="32">
        <f t="shared" si="65"/>
        <v>301979.03000000003</v>
      </c>
      <c r="S331" s="32">
        <v>0</v>
      </c>
      <c r="T331" s="32">
        <f t="shared" si="45"/>
        <v>89.416981523155286</v>
      </c>
      <c r="U331" s="83">
        <f t="shared" si="46"/>
        <v>89.416981523155286</v>
      </c>
      <c r="V331" s="33" t="s">
        <v>45</v>
      </c>
    </row>
    <row r="332" spans="1:22" s="44" customFormat="1" ht="48" customHeight="1" x14ac:dyDescent="0.25">
      <c r="A332" s="25">
        <v>8</v>
      </c>
      <c r="B332" s="26" t="s">
        <v>424</v>
      </c>
      <c r="C332" s="25" t="s">
        <v>43</v>
      </c>
      <c r="D332" s="27">
        <v>1971</v>
      </c>
      <c r="E332" s="27" t="s">
        <v>57</v>
      </c>
      <c r="F332" s="25" t="s">
        <v>77</v>
      </c>
      <c r="G332" s="28" t="s">
        <v>414</v>
      </c>
      <c r="H332" s="28" t="s">
        <v>415</v>
      </c>
      <c r="I332" s="75">
        <v>3341.4</v>
      </c>
      <c r="J332" s="32">
        <v>3149.2</v>
      </c>
      <c r="K332" s="32">
        <v>2920.7</v>
      </c>
      <c r="L332" s="35">
        <v>124</v>
      </c>
      <c r="M332" s="31">
        <f t="shared" si="64"/>
        <v>305183.58</v>
      </c>
      <c r="N332" s="32">
        <v>0</v>
      </c>
      <c r="O332" s="32">
        <v>0</v>
      </c>
      <c r="P332" s="32">
        <v>0</v>
      </c>
      <c r="Q332" s="29">
        <f>'Таблица 3 '!C322</f>
        <v>305183.58</v>
      </c>
      <c r="R332" s="32">
        <f t="shared" si="65"/>
        <v>305183.58</v>
      </c>
      <c r="S332" s="32">
        <v>0</v>
      </c>
      <c r="T332" s="32">
        <f t="shared" si="45"/>
        <v>96.908287819128674</v>
      </c>
      <c r="U332" s="83">
        <f t="shared" si="46"/>
        <v>96.908287819128674</v>
      </c>
      <c r="V332" s="33" t="s">
        <v>45</v>
      </c>
    </row>
    <row r="333" spans="1:22" s="44" customFormat="1" ht="48" customHeight="1" x14ac:dyDescent="0.25">
      <c r="A333" s="25">
        <v>9</v>
      </c>
      <c r="B333" s="26" t="s">
        <v>425</v>
      </c>
      <c r="C333" s="25" t="s">
        <v>43</v>
      </c>
      <c r="D333" s="27">
        <v>1968</v>
      </c>
      <c r="E333" s="27" t="s">
        <v>70</v>
      </c>
      <c r="F333" s="25" t="s">
        <v>77</v>
      </c>
      <c r="G333" s="28" t="s">
        <v>414</v>
      </c>
      <c r="H333" s="28" t="s">
        <v>415</v>
      </c>
      <c r="I333" s="75">
        <v>3388.9</v>
      </c>
      <c r="J333" s="32">
        <v>3139.7</v>
      </c>
      <c r="K333" s="32">
        <v>3109.3</v>
      </c>
      <c r="L333" s="35">
        <v>141</v>
      </c>
      <c r="M333" s="31">
        <f t="shared" si="64"/>
        <v>301548.73</v>
      </c>
      <c r="N333" s="32">
        <v>0</v>
      </c>
      <c r="O333" s="32">
        <v>0</v>
      </c>
      <c r="P333" s="32">
        <v>0</v>
      </c>
      <c r="Q333" s="29">
        <f>'Таблица 3 '!C323</f>
        <v>301548.73</v>
      </c>
      <c r="R333" s="32">
        <f t="shared" si="65"/>
        <v>301548.73</v>
      </c>
      <c r="S333" s="32">
        <v>0</v>
      </c>
      <c r="T333" s="32">
        <f t="shared" si="45"/>
        <v>96.043803548109693</v>
      </c>
      <c r="U333" s="83">
        <f t="shared" si="46"/>
        <v>96.043803548109693</v>
      </c>
      <c r="V333" s="33" t="s">
        <v>45</v>
      </c>
    </row>
    <row r="334" spans="1:22" s="44" customFormat="1" ht="48" customHeight="1" x14ac:dyDescent="0.25">
      <c r="A334" s="25">
        <v>10</v>
      </c>
      <c r="B334" s="26" t="s">
        <v>426</v>
      </c>
      <c r="C334" s="25" t="s">
        <v>43</v>
      </c>
      <c r="D334" s="27">
        <v>1970</v>
      </c>
      <c r="E334" s="27" t="s">
        <v>39</v>
      </c>
      <c r="F334" s="25" t="s">
        <v>77</v>
      </c>
      <c r="G334" s="28" t="s">
        <v>414</v>
      </c>
      <c r="H334" s="28" t="s">
        <v>415</v>
      </c>
      <c r="I334" s="75">
        <v>3373.6</v>
      </c>
      <c r="J334" s="32">
        <v>3066.2</v>
      </c>
      <c r="K334" s="32">
        <v>2940.9</v>
      </c>
      <c r="L334" s="35">
        <v>146</v>
      </c>
      <c r="M334" s="31">
        <f t="shared" si="64"/>
        <v>305096.59000000003</v>
      </c>
      <c r="N334" s="32">
        <v>0</v>
      </c>
      <c r="O334" s="32">
        <v>0</v>
      </c>
      <c r="P334" s="32">
        <v>0</v>
      </c>
      <c r="Q334" s="29">
        <f>'Таблица 3 '!C324</f>
        <v>305096.59000000003</v>
      </c>
      <c r="R334" s="32">
        <f t="shared" si="65"/>
        <v>305096.59000000003</v>
      </c>
      <c r="S334" s="32">
        <v>0</v>
      </c>
      <c r="T334" s="32">
        <f t="shared" si="45"/>
        <v>99.503160263518382</v>
      </c>
      <c r="U334" s="83">
        <f t="shared" si="46"/>
        <v>99.503160263518382</v>
      </c>
      <c r="V334" s="33" t="s">
        <v>45</v>
      </c>
    </row>
    <row r="335" spans="1:22" s="44" customFormat="1" ht="48" customHeight="1" x14ac:dyDescent="0.25">
      <c r="A335" s="25">
        <v>11</v>
      </c>
      <c r="B335" s="26" t="s">
        <v>427</v>
      </c>
      <c r="C335" s="25" t="s">
        <v>43</v>
      </c>
      <c r="D335" s="27">
        <v>1969</v>
      </c>
      <c r="E335" s="27" t="s">
        <v>63</v>
      </c>
      <c r="F335" s="25" t="s">
        <v>77</v>
      </c>
      <c r="G335" s="28" t="s">
        <v>414</v>
      </c>
      <c r="H335" s="28" t="s">
        <v>415</v>
      </c>
      <c r="I335" s="75">
        <v>3353.6</v>
      </c>
      <c r="J335" s="32">
        <v>3109.2</v>
      </c>
      <c r="K335" s="32">
        <v>2962.9</v>
      </c>
      <c r="L335" s="35">
        <v>114</v>
      </c>
      <c r="M335" s="31">
        <f t="shared" si="64"/>
        <v>252606.28</v>
      </c>
      <c r="N335" s="32">
        <v>0</v>
      </c>
      <c r="O335" s="32">
        <v>0</v>
      </c>
      <c r="P335" s="32">
        <v>0</v>
      </c>
      <c r="Q335" s="29">
        <f>'Таблица 3 '!C325</f>
        <v>252606.28</v>
      </c>
      <c r="R335" s="32">
        <f t="shared" si="65"/>
        <v>252606.28</v>
      </c>
      <c r="S335" s="32">
        <v>0</v>
      </c>
      <c r="T335" s="32">
        <f t="shared" si="45"/>
        <v>81.244783223980448</v>
      </c>
      <c r="U335" s="83">
        <f t="shared" si="46"/>
        <v>81.244783223980448</v>
      </c>
      <c r="V335" s="33" t="s">
        <v>45</v>
      </c>
    </row>
    <row r="336" spans="1:22" s="44" customFormat="1" ht="48" customHeight="1" x14ac:dyDescent="0.25">
      <c r="A336" s="25">
        <v>12</v>
      </c>
      <c r="B336" s="26" t="s">
        <v>428</v>
      </c>
      <c r="C336" s="25" t="s">
        <v>43</v>
      </c>
      <c r="D336" s="27" t="s">
        <v>93</v>
      </c>
      <c r="E336" s="27" t="s">
        <v>39</v>
      </c>
      <c r="F336" s="25" t="s">
        <v>77</v>
      </c>
      <c r="G336" s="28">
        <v>4</v>
      </c>
      <c r="H336" s="28">
        <v>2</v>
      </c>
      <c r="I336" s="42">
        <v>1560.4</v>
      </c>
      <c r="J336" s="29">
        <v>1293.2</v>
      </c>
      <c r="K336" s="29">
        <v>1293.2</v>
      </c>
      <c r="L336" s="30">
        <v>73</v>
      </c>
      <c r="M336" s="31">
        <f t="shared" si="64"/>
        <v>274193.38</v>
      </c>
      <c r="N336" s="32">
        <v>0</v>
      </c>
      <c r="O336" s="32">
        <v>0</v>
      </c>
      <c r="P336" s="32">
        <v>0</v>
      </c>
      <c r="Q336" s="29">
        <f>'Таблица 3 '!C326</f>
        <v>274193.38</v>
      </c>
      <c r="R336" s="32">
        <f t="shared" si="65"/>
        <v>274193.38</v>
      </c>
      <c r="S336" s="29">
        <v>0</v>
      </c>
      <c r="T336" s="32">
        <f t="shared" si="45"/>
        <v>212.02704918032788</v>
      </c>
      <c r="U336" s="83">
        <f t="shared" si="46"/>
        <v>212.02704918032788</v>
      </c>
      <c r="V336" s="33" t="s">
        <v>45</v>
      </c>
    </row>
    <row r="337" spans="1:22" s="44" customFormat="1" ht="48" customHeight="1" x14ac:dyDescent="0.25">
      <c r="A337" s="25">
        <v>13</v>
      </c>
      <c r="B337" s="26" t="s">
        <v>429</v>
      </c>
      <c r="C337" s="25" t="s">
        <v>43</v>
      </c>
      <c r="D337" s="27">
        <v>1964</v>
      </c>
      <c r="E337" s="27" t="s">
        <v>39</v>
      </c>
      <c r="F337" s="25" t="s">
        <v>77</v>
      </c>
      <c r="G337" s="28" t="s">
        <v>414</v>
      </c>
      <c r="H337" s="28">
        <v>3</v>
      </c>
      <c r="I337" s="75">
        <v>2761</v>
      </c>
      <c r="J337" s="32">
        <v>2550.3000000000002</v>
      </c>
      <c r="K337" s="32">
        <v>2550.3000000000002</v>
      </c>
      <c r="L337" s="35">
        <v>111</v>
      </c>
      <c r="M337" s="31">
        <f t="shared" si="64"/>
        <v>1682629.2</v>
      </c>
      <c r="N337" s="32">
        <v>0</v>
      </c>
      <c r="O337" s="32">
        <v>0</v>
      </c>
      <c r="P337" s="32">
        <v>0</v>
      </c>
      <c r="Q337" s="29">
        <f>'Таблица 3 '!C327</f>
        <v>1682629.2</v>
      </c>
      <c r="R337" s="32">
        <f t="shared" si="65"/>
        <v>1682629.2</v>
      </c>
      <c r="S337" s="32">
        <v>0</v>
      </c>
      <c r="T337" s="32">
        <f t="shared" si="45"/>
        <v>659.77696741559805</v>
      </c>
      <c r="U337" s="83">
        <f t="shared" si="46"/>
        <v>659.77696741559805</v>
      </c>
      <c r="V337" s="33" t="s">
        <v>45</v>
      </c>
    </row>
    <row r="338" spans="1:22" s="44" customFormat="1" ht="25.5" customHeight="1" x14ac:dyDescent="0.25">
      <c r="A338" s="322" t="s">
        <v>430</v>
      </c>
      <c r="B338" s="322"/>
      <c r="C338" s="18" t="s">
        <v>39</v>
      </c>
      <c r="D338" s="18" t="s">
        <v>39</v>
      </c>
      <c r="E338" s="19" t="s">
        <v>39</v>
      </c>
      <c r="F338" s="18" t="s">
        <v>39</v>
      </c>
      <c r="G338" s="20" t="s">
        <v>39</v>
      </c>
      <c r="H338" s="20" t="s">
        <v>39</v>
      </c>
      <c r="I338" s="84">
        <f t="shared" ref="I338:S338" si="66">SUM(I339:I343)</f>
        <v>14979.04</v>
      </c>
      <c r="J338" s="84">
        <f t="shared" si="66"/>
        <v>12178.55</v>
      </c>
      <c r="K338" s="84">
        <f t="shared" si="66"/>
        <v>8893.09</v>
      </c>
      <c r="L338" s="85">
        <f t="shared" si="66"/>
        <v>576</v>
      </c>
      <c r="M338" s="84">
        <f t="shared" si="66"/>
        <v>9147092.0600000005</v>
      </c>
      <c r="N338" s="84">
        <f t="shared" si="66"/>
        <v>0</v>
      </c>
      <c r="O338" s="84">
        <f t="shared" si="66"/>
        <v>0</v>
      </c>
      <c r="P338" s="84">
        <f t="shared" si="66"/>
        <v>0</v>
      </c>
      <c r="Q338" s="84">
        <f t="shared" si="66"/>
        <v>9147092.0600000005</v>
      </c>
      <c r="R338" s="84">
        <f t="shared" si="66"/>
        <v>9147092.0600000005</v>
      </c>
      <c r="S338" s="84">
        <f t="shared" si="66"/>
        <v>0</v>
      </c>
      <c r="T338" s="24" t="s">
        <v>39</v>
      </c>
      <c r="U338" s="24" t="s">
        <v>39</v>
      </c>
      <c r="V338" s="20" t="s">
        <v>39</v>
      </c>
    </row>
    <row r="339" spans="1:22" s="44" customFormat="1" ht="43.5" customHeight="1" x14ac:dyDescent="0.25">
      <c r="A339" s="25">
        <v>1</v>
      </c>
      <c r="B339" s="37" t="s">
        <v>431</v>
      </c>
      <c r="C339" s="25" t="s">
        <v>43</v>
      </c>
      <c r="D339" s="27" t="s">
        <v>213</v>
      </c>
      <c r="E339" s="27" t="s">
        <v>39</v>
      </c>
      <c r="F339" s="25" t="s">
        <v>77</v>
      </c>
      <c r="G339" s="28">
        <v>5</v>
      </c>
      <c r="H339" s="28">
        <v>6</v>
      </c>
      <c r="I339" s="31">
        <v>5895.8</v>
      </c>
      <c r="J339" s="31">
        <v>4456.3</v>
      </c>
      <c r="K339" s="31">
        <v>2839.5</v>
      </c>
      <c r="L339" s="30">
        <v>264</v>
      </c>
      <c r="M339" s="31">
        <f t="shared" ref="M339:M343" si="67">SUM(N339:Q339)</f>
        <v>7328083.9000000004</v>
      </c>
      <c r="N339" s="29">
        <v>0</v>
      </c>
      <c r="O339" s="29">
        <v>0</v>
      </c>
      <c r="P339" s="29">
        <v>0</v>
      </c>
      <c r="Q339" s="32">
        <f>'Таблица 3 '!C329</f>
        <v>7328083.9000000004</v>
      </c>
      <c r="R339" s="29">
        <f t="shared" ref="R339:R343" si="68">Q339</f>
        <v>7328083.9000000004</v>
      </c>
      <c r="S339" s="29">
        <v>0</v>
      </c>
      <c r="T339" s="29">
        <f t="shared" si="45"/>
        <v>1644.4323541951844</v>
      </c>
      <c r="U339" s="29">
        <f t="shared" si="46"/>
        <v>1644.4323541951844</v>
      </c>
      <c r="V339" s="33" t="s">
        <v>45</v>
      </c>
    </row>
    <row r="340" spans="1:22" s="44" customFormat="1" ht="48" customHeight="1" x14ac:dyDescent="0.25">
      <c r="A340" s="25">
        <v>2</v>
      </c>
      <c r="B340" s="37" t="s">
        <v>432</v>
      </c>
      <c r="C340" s="25" t="s">
        <v>43</v>
      </c>
      <c r="D340" s="27">
        <v>1974</v>
      </c>
      <c r="E340" s="27">
        <v>2018</v>
      </c>
      <c r="F340" s="25" t="s">
        <v>48</v>
      </c>
      <c r="G340" s="28">
        <v>5</v>
      </c>
      <c r="H340" s="28">
        <v>4</v>
      </c>
      <c r="I340" s="31">
        <v>3992.91</v>
      </c>
      <c r="J340" s="31">
        <v>3283.6</v>
      </c>
      <c r="K340" s="31">
        <v>2227.86</v>
      </c>
      <c r="L340" s="30">
        <v>149</v>
      </c>
      <c r="M340" s="31">
        <f t="shared" si="67"/>
        <v>621356.68999999994</v>
      </c>
      <c r="N340" s="29">
        <v>0</v>
      </c>
      <c r="O340" s="29">
        <v>0</v>
      </c>
      <c r="P340" s="29">
        <v>0</v>
      </c>
      <c r="Q340" s="32">
        <f>'Таблица 3 '!C330</f>
        <v>621356.68999999994</v>
      </c>
      <c r="R340" s="29">
        <f t="shared" si="68"/>
        <v>621356.68999999994</v>
      </c>
      <c r="S340" s="29">
        <v>0</v>
      </c>
      <c r="T340" s="29">
        <f t="shared" si="45"/>
        <v>189.23032342550857</v>
      </c>
      <c r="U340" s="29">
        <f t="shared" si="46"/>
        <v>189.23032342550857</v>
      </c>
      <c r="V340" s="86" t="s">
        <v>45</v>
      </c>
    </row>
    <row r="341" spans="1:22" s="44" customFormat="1" ht="48" customHeight="1" x14ac:dyDescent="0.25">
      <c r="A341" s="25">
        <v>3</v>
      </c>
      <c r="B341" s="37" t="s">
        <v>433</v>
      </c>
      <c r="C341" s="25" t="s">
        <v>43</v>
      </c>
      <c r="D341" s="25">
        <v>2024</v>
      </c>
      <c r="E341" s="27" t="s">
        <v>40</v>
      </c>
      <c r="F341" s="25" t="s">
        <v>384</v>
      </c>
      <c r="G341" s="28">
        <v>5</v>
      </c>
      <c r="H341" s="28">
        <v>3</v>
      </c>
      <c r="I341" s="32">
        <v>3726.7</v>
      </c>
      <c r="J341" s="32">
        <v>3198.6</v>
      </c>
      <c r="K341" s="32">
        <v>2692.98</v>
      </c>
      <c r="L341" s="35">
        <v>110</v>
      </c>
      <c r="M341" s="31">
        <f t="shared" si="67"/>
        <v>312499.01</v>
      </c>
      <c r="N341" s="29">
        <v>0</v>
      </c>
      <c r="O341" s="29">
        <v>0</v>
      </c>
      <c r="P341" s="29">
        <v>0</v>
      </c>
      <c r="Q341" s="32">
        <f>'Таблица 3 '!C331</f>
        <v>312499.01</v>
      </c>
      <c r="R341" s="29">
        <f t="shared" si="68"/>
        <v>312499.01</v>
      </c>
      <c r="S341" s="29">
        <v>0</v>
      </c>
      <c r="T341" s="29">
        <f t="shared" ref="T341:T404" si="69">M341/J341</f>
        <v>97.69868379916214</v>
      </c>
      <c r="U341" s="29">
        <f t="shared" ref="U341:U404" si="70">T341</f>
        <v>97.69868379916214</v>
      </c>
      <c r="V341" s="33" t="s">
        <v>45</v>
      </c>
    </row>
    <row r="342" spans="1:22" s="44" customFormat="1" ht="48" customHeight="1" x14ac:dyDescent="0.25">
      <c r="A342" s="25">
        <v>4</v>
      </c>
      <c r="B342" s="37" t="s">
        <v>434</v>
      </c>
      <c r="C342" s="25" t="s">
        <v>43</v>
      </c>
      <c r="D342" s="25">
        <v>1979</v>
      </c>
      <c r="E342" s="27">
        <v>2019</v>
      </c>
      <c r="F342" s="25" t="s">
        <v>77</v>
      </c>
      <c r="G342" s="28">
        <v>2</v>
      </c>
      <c r="H342" s="28">
        <v>2</v>
      </c>
      <c r="I342" s="87">
        <v>583.85</v>
      </c>
      <c r="J342" s="83">
        <v>499.05</v>
      </c>
      <c r="K342" s="83">
        <v>499.05</v>
      </c>
      <c r="L342" s="35">
        <v>18</v>
      </c>
      <c r="M342" s="31">
        <f t="shared" si="67"/>
        <v>426487.32999999996</v>
      </c>
      <c r="N342" s="29">
        <v>0</v>
      </c>
      <c r="O342" s="29">
        <v>0</v>
      </c>
      <c r="P342" s="29">
        <v>0</v>
      </c>
      <c r="Q342" s="32">
        <f>'Таблица 3 '!C332</f>
        <v>426487.32999999996</v>
      </c>
      <c r="R342" s="29">
        <f t="shared" si="68"/>
        <v>426487.32999999996</v>
      </c>
      <c r="S342" s="32">
        <v>0</v>
      </c>
      <c r="T342" s="29">
        <f t="shared" si="69"/>
        <v>854.59839695421294</v>
      </c>
      <c r="U342" s="29">
        <f t="shared" si="70"/>
        <v>854.59839695421294</v>
      </c>
      <c r="V342" s="86" t="s">
        <v>45</v>
      </c>
    </row>
    <row r="343" spans="1:22" s="44" customFormat="1" ht="48" customHeight="1" x14ac:dyDescent="0.25">
      <c r="A343" s="25">
        <v>5</v>
      </c>
      <c r="B343" s="37" t="s">
        <v>435</v>
      </c>
      <c r="C343" s="25" t="s">
        <v>43</v>
      </c>
      <c r="D343" s="25">
        <v>1974</v>
      </c>
      <c r="E343" s="27" t="s">
        <v>39</v>
      </c>
      <c r="F343" s="25" t="s">
        <v>77</v>
      </c>
      <c r="G343" s="28">
        <v>2</v>
      </c>
      <c r="H343" s="28">
        <v>2</v>
      </c>
      <c r="I343" s="87">
        <v>779.78</v>
      </c>
      <c r="J343" s="83">
        <v>741</v>
      </c>
      <c r="K343" s="83">
        <v>633.70000000000005</v>
      </c>
      <c r="L343" s="35">
        <v>35</v>
      </c>
      <c r="M343" s="31">
        <f t="shared" si="67"/>
        <v>458665.13</v>
      </c>
      <c r="N343" s="29">
        <v>0</v>
      </c>
      <c r="O343" s="29">
        <v>0</v>
      </c>
      <c r="P343" s="29">
        <v>0</v>
      </c>
      <c r="Q343" s="32">
        <f>'Таблица 3 '!C333</f>
        <v>458665.13</v>
      </c>
      <c r="R343" s="29">
        <f t="shared" si="68"/>
        <v>458665.13</v>
      </c>
      <c r="S343" s="32">
        <v>0</v>
      </c>
      <c r="T343" s="29">
        <f t="shared" si="69"/>
        <v>618.98128205128205</v>
      </c>
      <c r="U343" s="29">
        <f t="shared" si="70"/>
        <v>618.98128205128205</v>
      </c>
      <c r="V343" s="33" t="s">
        <v>45</v>
      </c>
    </row>
    <row r="344" spans="1:22" s="44" customFormat="1" ht="24" customHeight="1" x14ac:dyDescent="0.25">
      <c r="A344" s="322" t="s">
        <v>436</v>
      </c>
      <c r="B344" s="322"/>
      <c r="C344" s="18" t="s">
        <v>39</v>
      </c>
      <c r="D344" s="18" t="s">
        <v>39</v>
      </c>
      <c r="E344" s="19" t="s">
        <v>39</v>
      </c>
      <c r="F344" s="18" t="s">
        <v>39</v>
      </c>
      <c r="G344" s="20" t="s">
        <v>39</v>
      </c>
      <c r="H344" s="20" t="s">
        <v>39</v>
      </c>
      <c r="I344" s="60">
        <f t="shared" ref="I344:S344" si="71">SUM(I345:I358)</f>
        <v>59411.900000000009</v>
      </c>
      <c r="J344" s="60">
        <f t="shared" si="71"/>
        <v>46097.599999999999</v>
      </c>
      <c r="K344" s="60">
        <f t="shared" si="71"/>
        <v>31623.300000000003</v>
      </c>
      <c r="L344" s="61">
        <f t="shared" si="71"/>
        <v>1866</v>
      </c>
      <c r="M344" s="60">
        <f t="shared" si="71"/>
        <v>52497090.729999997</v>
      </c>
      <c r="N344" s="60">
        <f t="shared" si="71"/>
        <v>0</v>
      </c>
      <c r="O344" s="60">
        <f t="shared" si="71"/>
        <v>0</v>
      </c>
      <c r="P344" s="60">
        <f t="shared" si="71"/>
        <v>0</v>
      </c>
      <c r="Q344" s="60">
        <f t="shared" si="71"/>
        <v>52497090.729999997</v>
      </c>
      <c r="R344" s="60">
        <f t="shared" si="71"/>
        <v>52497090.729999997</v>
      </c>
      <c r="S344" s="60">
        <f t="shared" si="71"/>
        <v>0</v>
      </c>
      <c r="T344" s="24" t="s">
        <v>39</v>
      </c>
      <c r="U344" s="24" t="s">
        <v>39</v>
      </c>
      <c r="V344" s="20" t="s">
        <v>39</v>
      </c>
    </row>
    <row r="345" spans="1:22" s="44" customFormat="1" ht="45" x14ac:dyDescent="0.25">
      <c r="A345" s="25">
        <v>1</v>
      </c>
      <c r="B345" s="71" t="s">
        <v>437</v>
      </c>
      <c r="C345" s="25" t="s">
        <v>43</v>
      </c>
      <c r="D345" s="28">
        <v>1979</v>
      </c>
      <c r="E345" s="63">
        <v>2024</v>
      </c>
      <c r="F345" s="25" t="s">
        <v>77</v>
      </c>
      <c r="G345" s="28">
        <v>2</v>
      </c>
      <c r="H345" s="28">
        <v>2</v>
      </c>
      <c r="I345" s="29">
        <v>637.5</v>
      </c>
      <c r="J345" s="29">
        <v>637.5</v>
      </c>
      <c r="K345" s="29">
        <v>637.5</v>
      </c>
      <c r="L345" s="30">
        <v>29</v>
      </c>
      <c r="M345" s="29">
        <f t="shared" ref="M345:M358" si="72">SUM(N345:Q345)</f>
        <v>307799.5</v>
      </c>
      <c r="N345" s="29">
        <v>0</v>
      </c>
      <c r="O345" s="29">
        <v>0</v>
      </c>
      <c r="P345" s="29">
        <v>0</v>
      </c>
      <c r="Q345" s="29">
        <f>'Таблица 3 '!C335</f>
        <v>307799.5</v>
      </c>
      <c r="R345" s="29">
        <f t="shared" ref="R345:R358" si="73">Q345</f>
        <v>307799.5</v>
      </c>
      <c r="S345" s="29">
        <v>0</v>
      </c>
      <c r="T345" s="29">
        <f t="shared" si="69"/>
        <v>482.82274509803921</v>
      </c>
      <c r="U345" s="29">
        <f t="shared" si="70"/>
        <v>482.82274509803921</v>
      </c>
      <c r="V345" s="33" t="s">
        <v>45</v>
      </c>
    </row>
    <row r="346" spans="1:22" s="44" customFormat="1" ht="45" x14ac:dyDescent="0.25">
      <c r="A346" s="28">
        <v>2</v>
      </c>
      <c r="B346" s="71" t="s">
        <v>438</v>
      </c>
      <c r="C346" s="25" t="s">
        <v>43</v>
      </c>
      <c r="D346" s="28">
        <v>1986</v>
      </c>
      <c r="E346" s="63" t="s">
        <v>39</v>
      </c>
      <c r="F346" s="25" t="s">
        <v>77</v>
      </c>
      <c r="G346" s="28">
        <v>2</v>
      </c>
      <c r="H346" s="28">
        <v>3</v>
      </c>
      <c r="I346" s="29">
        <v>921.3</v>
      </c>
      <c r="J346" s="29">
        <v>527.4</v>
      </c>
      <c r="K346" s="29">
        <v>527.4</v>
      </c>
      <c r="L346" s="30">
        <v>44</v>
      </c>
      <c r="M346" s="29">
        <f t="shared" si="72"/>
        <v>7334555.8899999997</v>
      </c>
      <c r="N346" s="29">
        <v>0</v>
      </c>
      <c r="O346" s="29">
        <v>0</v>
      </c>
      <c r="P346" s="29">
        <v>0</v>
      </c>
      <c r="Q346" s="29">
        <f>'Таблица 3 '!C336</f>
        <v>7334555.8899999997</v>
      </c>
      <c r="R346" s="29">
        <f t="shared" si="73"/>
        <v>7334555.8899999997</v>
      </c>
      <c r="S346" s="29">
        <v>0</v>
      </c>
      <c r="T346" s="29">
        <f t="shared" si="69"/>
        <v>13907.00775502465</v>
      </c>
      <c r="U346" s="29">
        <f t="shared" si="70"/>
        <v>13907.00775502465</v>
      </c>
      <c r="V346" s="33" t="s">
        <v>45</v>
      </c>
    </row>
    <row r="347" spans="1:22" s="44" customFormat="1" ht="45" x14ac:dyDescent="0.25">
      <c r="A347" s="25">
        <v>3</v>
      </c>
      <c r="B347" s="71" t="s">
        <v>439</v>
      </c>
      <c r="C347" s="25" t="s">
        <v>43</v>
      </c>
      <c r="D347" s="28">
        <v>1984</v>
      </c>
      <c r="E347" s="63" t="s">
        <v>39</v>
      </c>
      <c r="F347" s="28" t="s">
        <v>440</v>
      </c>
      <c r="G347" s="28">
        <v>2</v>
      </c>
      <c r="H347" s="28">
        <v>2</v>
      </c>
      <c r="I347" s="29">
        <v>536.9</v>
      </c>
      <c r="J347" s="29">
        <v>536.9</v>
      </c>
      <c r="K347" s="29">
        <v>536.9</v>
      </c>
      <c r="L347" s="30">
        <v>15</v>
      </c>
      <c r="M347" s="29">
        <f t="shared" si="72"/>
        <v>232502.31</v>
      </c>
      <c r="N347" s="29">
        <v>0</v>
      </c>
      <c r="O347" s="29">
        <v>0</v>
      </c>
      <c r="P347" s="29">
        <v>0</v>
      </c>
      <c r="Q347" s="29">
        <f>'Таблица 3 '!C337</f>
        <v>232502.31</v>
      </c>
      <c r="R347" s="29">
        <f t="shared" si="73"/>
        <v>232502.31</v>
      </c>
      <c r="S347" s="29">
        <v>0</v>
      </c>
      <c r="T347" s="29">
        <f t="shared" si="69"/>
        <v>433.04583721363383</v>
      </c>
      <c r="U347" s="29">
        <f t="shared" si="70"/>
        <v>433.04583721363383</v>
      </c>
      <c r="V347" s="33" t="s">
        <v>45</v>
      </c>
    </row>
    <row r="348" spans="1:22" s="44" customFormat="1" ht="45" x14ac:dyDescent="0.25">
      <c r="A348" s="28">
        <v>4</v>
      </c>
      <c r="B348" s="37" t="s">
        <v>441</v>
      </c>
      <c r="C348" s="25" t="s">
        <v>43</v>
      </c>
      <c r="D348" s="25">
        <v>1993</v>
      </c>
      <c r="E348" s="27" t="s">
        <v>39</v>
      </c>
      <c r="F348" s="25" t="s">
        <v>48</v>
      </c>
      <c r="G348" s="28">
        <v>9</v>
      </c>
      <c r="H348" s="28">
        <v>2</v>
      </c>
      <c r="I348" s="42">
        <v>7222.9</v>
      </c>
      <c r="J348" s="29">
        <v>5523</v>
      </c>
      <c r="K348" s="29">
        <v>4622.6000000000004</v>
      </c>
      <c r="L348" s="30">
        <v>283</v>
      </c>
      <c r="M348" s="29">
        <f t="shared" si="72"/>
        <v>354405.66</v>
      </c>
      <c r="N348" s="29">
        <v>0</v>
      </c>
      <c r="O348" s="29">
        <v>0</v>
      </c>
      <c r="P348" s="29">
        <v>0</v>
      </c>
      <c r="Q348" s="29">
        <f>'Таблица 3 '!C338</f>
        <v>354405.66</v>
      </c>
      <c r="R348" s="29">
        <f t="shared" si="73"/>
        <v>354405.66</v>
      </c>
      <c r="S348" s="29">
        <v>0</v>
      </c>
      <c r="T348" s="29">
        <f t="shared" si="69"/>
        <v>64.16904942965779</v>
      </c>
      <c r="U348" s="29">
        <f t="shared" si="70"/>
        <v>64.16904942965779</v>
      </c>
      <c r="V348" s="33" t="s">
        <v>45</v>
      </c>
    </row>
    <row r="349" spans="1:22" s="44" customFormat="1" ht="45" x14ac:dyDescent="0.25">
      <c r="A349" s="25">
        <v>5</v>
      </c>
      <c r="B349" s="37" t="s">
        <v>442</v>
      </c>
      <c r="C349" s="25" t="s">
        <v>43</v>
      </c>
      <c r="D349" s="25">
        <v>1986</v>
      </c>
      <c r="E349" s="27" t="s">
        <v>39</v>
      </c>
      <c r="F349" s="25" t="s">
        <v>48</v>
      </c>
      <c r="G349" s="28">
        <v>5</v>
      </c>
      <c r="H349" s="28">
        <v>3</v>
      </c>
      <c r="I349" s="42">
        <v>4477</v>
      </c>
      <c r="J349" s="29">
        <v>3800</v>
      </c>
      <c r="K349" s="29">
        <v>3034.4</v>
      </c>
      <c r="L349" s="30">
        <v>141</v>
      </c>
      <c r="M349" s="29">
        <f t="shared" si="72"/>
        <v>869285.34000000008</v>
      </c>
      <c r="N349" s="29">
        <v>0</v>
      </c>
      <c r="O349" s="29">
        <v>0</v>
      </c>
      <c r="P349" s="29">
        <v>0</v>
      </c>
      <c r="Q349" s="29">
        <f>'Таблица 3 '!C339</f>
        <v>869285.34000000008</v>
      </c>
      <c r="R349" s="29">
        <f t="shared" si="73"/>
        <v>869285.34000000008</v>
      </c>
      <c r="S349" s="29">
        <v>0</v>
      </c>
      <c r="T349" s="29">
        <f t="shared" si="69"/>
        <v>228.75930000000002</v>
      </c>
      <c r="U349" s="29">
        <f t="shared" si="70"/>
        <v>228.75930000000002</v>
      </c>
      <c r="V349" s="33" t="s">
        <v>45</v>
      </c>
    </row>
    <row r="350" spans="1:22" s="44" customFormat="1" ht="45" customHeight="1" x14ac:dyDescent="0.25">
      <c r="A350" s="28">
        <v>6</v>
      </c>
      <c r="B350" s="37" t="s">
        <v>443</v>
      </c>
      <c r="C350" s="25" t="s">
        <v>43</v>
      </c>
      <c r="D350" s="25">
        <v>1992</v>
      </c>
      <c r="E350" s="27" t="s">
        <v>39</v>
      </c>
      <c r="F350" s="25" t="s">
        <v>48</v>
      </c>
      <c r="G350" s="28">
        <v>5</v>
      </c>
      <c r="H350" s="28">
        <v>3</v>
      </c>
      <c r="I350" s="29">
        <v>4309</v>
      </c>
      <c r="J350" s="29">
        <v>3416.1</v>
      </c>
      <c r="K350" s="29">
        <v>3118</v>
      </c>
      <c r="L350" s="30">
        <v>143</v>
      </c>
      <c r="M350" s="29">
        <f t="shared" si="72"/>
        <v>10142197.380000001</v>
      </c>
      <c r="N350" s="29">
        <v>0</v>
      </c>
      <c r="O350" s="29">
        <v>0</v>
      </c>
      <c r="P350" s="29">
        <v>0</v>
      </c>
      <c r="Q350" s="29">
        <f>'Таблица 3 '!C340</f>
        <v>10142197.380000001</v>
      </c>
      <c r="R350" s="29">
        <f t="shared" si="73"/>
        <v>10142197.380000001</v>
      </c>
      <c r="S350" s="29">
        <v>0</v>
      </c>
      <c r="T350" s="29">
        <f t="shared" si="69"/>
        <v>2968.9404232897168</v>
      </c>
      <c r="U350" s="29">
        <f t="shared" si="70"/>
        <v>2968.9404232897168</v>
      </c>
      <c r="V350" s="33" t="s">
        <v>45</v>
      </c>
    </row>
    <row r="351" spans="1:22" s="44" customFormat="1" ht="45" customHeight="1" x14ac:dyDescent="0.25">
      <c r="A351" s="25">
        <v>7</v>
      </c>
      <c r="B351" s="37" t="s">
        <v>444</v>
      </c>
      <c r="C351" s="25" t="s">
        <v>43</v>
      </c>
      <c r="D351" s="25">
        <v>1986</v>
      </c>
      <c r="E351" s="27" t="s">
        <v>39</v>
      </c>
      <c r="F351" s="25" t="s">
        <v>48</v>
      </c>
      <c r="G351" s="28">
        <v>5</v>
      </c>
      <c r="H351" s="28">
        <v>3</v>
      </c>
      <c r="I351" s="42">
        <v>4687.6000000000004</v>
      </c>
      <c r="J351" s="29">
        <v>3249.6</v>
      </c>
      <c r="K351" s="29">
        <v>3249.6</v>
      </c>
      <c r="L351" s="30">
        <v>130</v>
      </c>
      <c r="M351" s="29">
        <f t="shared" si="72"/>
        <v>528380.62</v>
      </c>
      <c r="N351" s="29">
        <v>0</v>
      </c>
      <c r="O351" s="29">
        <v>0</v>
      </c>
      <c r="P351" s="29">
        <v>0</v>
      </c>
      <c r="Q351" s="29">
        <f>'Таблица 3 '!C341</f>
        <v>528380.62</v>
      </c>
      <c r="R351" s="29">
        <f t="shared" si="73"/>
        <v>528380.62</v>
      </c>
      <c r="S351" s="29">
        <v>0</v>
      </c>
      <c r="T351" s="29">
        <f t="shared" si="69"/>
        <v>162.59866445100937</v>
      </c>
      <c r="U351" s="29">
        <f t="shared" si="70"/>
        <v>162.59866445100937</v>
      </c>
      <c r="V351" s="33" t="s">
        <v>45</v>
      </c>
    </row>
    <row r="352" spans="1:22" s="44" customFormat="1" ht="45" customHeight="1" x14ac:dyDescent="0.25">
      <c r="A352" s="28">
        <v>8</v>
      </c>
      <c r="B352" s="37" t="s">
        <v>445</v>
      </c>
      <c r="C352" s="25" t="s">
        <v>43</v>
      </c>
      <c r="D352" s="25">
        <v>1990</v>
      </c>
      <c r="E352" s="27" t="s">
        <v>39</v>
      </c>
      <c r="F352" s="25" t="s">
        <v>44</v>
      </c>
      <c r="G352" s="28">
        <v>5</v>
      </c>
      <c r="H352" s="28">
        <v>6</v>
      </c>
      <c r="I352" s="29">
        <v>5641.4</v>
      </c>
      <c r="J352" s="29">
        <v>4175.7</v>
      </c>
      <c r="K352" s="29">
        <v>4086.9</v>
      </c>
      <c r="L352" s="30">
        <v>188</v>
      </c>
      <c r="M352" s="29">
        <f t="shared" si="72"/>
        <v>773066.47</v>
      </c>
      <c r="N352" s="29">
        <v>0</v>
      </c>
      <c r="O352" s="29">
        <v>0</v>
      </c>
      <c r="P352" s="29">
        <v>0</v>
      </c>
      <c r="Q352" s="29">
        <f>'Таблица 3 '!C342</f>
        <v>773066.47</v>
      </c>
      <c r="R352" s="29">
        <f t="shared" si="73"/>
        <v>773066.47</v>
      </c>
      <c r="S352" s="29">
        <v>0</v>
      </c>
      <c r="T352" s="29">
        <f t="shared" si="69"/>
        <v>185.13458102833059</v>
      </c>
      <c r="U352" s="29">
        <f t="shared" si="70"/>
        <v>185.13458102833059</v>
      </c>
      <c r="V352" s="33" t="s">
        <v>45</v>
      </c>
    </row>
    <row r="353" spans="1:22" s="44" customFormat="1" ht="45" customHeight="1" x14ac:dyDescent="0.25">
      <c r="A353" s="25">
        <v>9</v>
      </c>
      <c r="B353" s="37" t="s">
        <v>446</v>
      </c>
      <c r="C353" s="25" t="s">
        <v>43</v>
      </c>
      <c r="D353" s="25">
        <v>1995</v>
      </c>
      <c r="E353" s="27" t="s">
        <v>39</v>
      </c>
      <c r="F353" s="25" t="s">
        <v>48</v>
      </c>
      <c r="G353" s="28">
        <v>9</v>
      </c>
      <c r="H353" s="28">
        <v>3</v>
      </c>
      <c r="I353" s="29">
        <v>8055</v>
      </c>
      <c r="J353" s="29">
        <v>6345.8</v>
      </c>
      <c r="K353" s="29">
        <v>5909.5</v>
      </c>
      <c r="L353" s="30">
        <v>260</v>
      </c>
      <c r="M353" s="29">
        <f t="shared" si="72"/>
        <v>212907.77</v>
      </c>
      <c r="N353" s="29">
        <v>0</v>
      </c>
      <c r="O353" s="29">
        <v>0</v>
      </c>
      <c r="P353" s="29">
        <v>0</v>
      </c>
      <c r="Q353" s="29">
        <f>'Таблица 3 '!C343</f>
        <v>212907.77</v>
      </c>
      <c r="R353" s="29">
        <f t="shared" si="73"/>
        <v>212907.77</v>
      </c>
      <c r="S353" s="29">
        <v>0</v>
      </c>
      <c r="T353" s="29">
        <f t="shared" si="69"/>
        <v>33.550973872482587</v>
      </c>
      <c r="U353" s="29">
        <f t="shared" si="70"/>
        <v>33.550973872482587</v>
      </c>
      <c r="V353" s="33" t="s">
        <v>45</v>
      </c>
    </row>
    <row r="354" spans="1:22" s="44" customFormat="1" ht="45" customHeight="1" x14ac:dyDescent="0.25">
      <c r="A354" s="28">
        <v>10</v>
      </c>
      <c r="B354" s="37" t="s">
        <v>447</v>
      </c>
      <c r="C354" s="25" t="s">
        <v>43</v>
      </c>
      <c r="D354" s="25">
        <v>1979</v>
      </c>
      <c r="E354" s="27" t="s">
        <v>39</v>
      </c>
      <c r="F354" s="25" t="s">
        <v>44</v>
      </c>
      <c r="G354" s="28">
        <v>5</v>
      </c>
      <c r="H354" s="28">
        <v>2</v>
      </c>
      <c r="I354" s="29">
        <v>4765</v>
      </c>
      <c r="J354" s="29">
        <v>3518.8</v>
      </c>
      <c r="K354" s="29">
        <v>2715.7</v>
      </c>
      <c r="L354" s="30">
        <v>138</v>
      </c>
      <c r="M354" s="29">
        <f t="shared" si="72"/>
        <v>15442094.1</v>
      </c>
      <c r="N354" s="29">
        <v>0</v>
      </c>
      <c r="O354" s="29">
        <v>0</v>
      </c>
      <c r="P354" s="29">
        <v>0</v>
      </c>
      <c r="Q354" s="29">
        <f>'Таблица 3 '!C344</f>
        <v>15442094.1</v>
      </c>
      <c r="R354" s="29">
        <f t="shared" si="73"/>
        <v>15442094.1</v>
      </c>
      <c r="S354" s="29">
        <v>0</v>
      </c>
      <c r="T354" s="29">
        <f t="shared" si="69"/>
        <v>4388.45461520973</v>
      </c>
      <c r="U354" s="29">
        <f t="shared" si="70"/>
        <v>4388.45461520973</v>
      </c>
      <c r="V354" s="33" t="s">
        <v>45</v>
      </c>
    </row>
    <row r="355" spans="1:22" s="44" customFormat="1" ht="45" customHeight="1" x14ac:dyDescent="0.25">
      <c r="A355" s="25">
        <v>11</v>
      </c>
      <c r="B355" s="37" t="s">
        <v>448</v>
      </c>
      <c r="C355" s="25" t="s">
        <v>43</v>
      </c>
      <c r="D355" s="25">
        <v>1979</v>
      </c>
      <c r="E355" s="27" t="s">
        <v>39</v>
      </c>
      <c r="F355" s="25" t="s">
        <v>44</v>
      </c>
      <c r="G355" s="28">
        <v>5</v>
      </c>
      <c r="H355" s="28">
        <v>2</v>
      </c>
      <c r="I355" s="29">
        <v>4792.8999999999996</v>
      </c>
      <c r="J355" s="29">
        <v>3492.7</v>
      </c>
      <c r="K355" s="29">
        <v>3140.6</v>
      </c>
      <c r="L355" s="30">
        <v>144</v>
      </c>
      <c r="M355" s="29">
        <f t="shared" si="72"/>
        <v>15507487.17</v>
      </c>
      <c r="N355" s="29">
        <v>0</v>
      </c>
      <c r="O355" s="29">
        <v>0</v>
      </c>
      <c r="P355" s="29">
        <v>0</v>
      </c>
      <c r="Q355" s="29">
        <f>'Таблица 3 '!C345</f>
        <v>15507487.17</v>
      </c>
      <c r="R355" s="29">
        <f t="shared" si="73"/>
        <v>15507487.17</v>
      </c>
      <c r="S355" s="29">
        <v>0</v>
      </c>
      <c r="T355" s="29">
        <f t="shared" si="69"/>
        <v>4439.9711312165373</v>
      </c>
      <c r="U355" s="29">
        <f t="shared" si="70"/>
        <v>4439.9711312165373</v>
      </c>
      <c r="V355" s="33" t="s">
        <v>45</v>
      </c>
    </row>
    <row r="356" spans="1:22" s="44" customFormat="1" ht="45" customHeight="1" x14ac:dyDescent="0.25">
      <c r="A356" s="28">
        <v>12</v>
      </c>
      <c r="B356" s="37" t="s">
        <v>449</v>
      </c>
      <c r="C356" s="25" t="s">
        <v>43</v>
      </c>
      <c r="D356" s="25">
        <v>1986</v>
      </c>
      <c r="E356" s="27" t="s">
        <v>39</v>
      </c>
      <c r="F356" s="25" t="s">
        <v>44</v>
      </c>
      <c r="G356" s="28">
        <v>4</v>
      </c>
      <c r="H356" s="28">
        <v>4</v>
      </c>
      <c r="I356" s="88">
        <v>4555.16</v>
      </c>
      <c r="J356" s="89">
        <v>3598.1</v>
      </c>
      <c r="K356" s="89">
        <v>0</v>
      </c>
      <c r="L356" s="90">
        <v>102</v>
      </c>
      <c r="M356" s="29">
        <f t="shared" si="72"/>
        <v>267012.94</v>
      </c>
      <c r="N356" s="29">
        <v>0</v>
      </c>
      <c r="O356" s="29">
        <v>0</v>
      </c>
      <c r="P356" s="29">
        <v>0</v>
      </c>
      <c r="Q356" s="29">
        <f>'Таблица 3 '!C346</f>
        <v>267012.94</v>
      </c>
      <c r="R356" s="29">
        <f t="shared" si="73"/>
        <v>267012.94</v>
      </c>
      <c r="S356" s="29">
        <v>0</v>
      </c>
      <c r="T356" s="29">
        <f t="shared" si="69"/>
        <v>74.209427197687674</v>
      </c>
      <c r="U356" s="29">
        <f t="shared" si="70"/>
        <v>74.209427197687674</v>
      </c>
      <c r="V356" s="33" t="s">
        <v>45</v>
      </c>
    </row>
    <row r="357" spans="1:22" s="44" customFormat="1" ht="45" customHeight="1" x14ac:dyDescent="0.25">
      <c r="A357" s="25">
        <v>13</v>
      </c>
      <c r="B357" s="37" t="s">
        <v>450</v>
      </c>
      <c r="C357" s="25" t="s">
        <v>43</v>
      </c>
      <c r="D357" s="25">
        <v>1966</v>
      </c>
      <c r="E357" s="27" t="s">
        <v>39</v>
      </c>
      <c r="F357" s="25" t="s">
        <v>44</v>
      </c>
      <c r="G357" s="28">
        <v>4</v>
      </c>
      <c r="H357" s="28">
        <v>4</v>
      </c>
      <c r="I357" s="88">
        <v>4405.12</v>
      </c>
      <c r="J357" s="89">
        <v>3637</v>
      </c>
      <c r="K357" s="89">
        <v>0</v>
      </c>
      <c r="L357" s="90">
        <v>131</v>
      </c>
      <c r="M357" s="29">
        <f t="shared" si="72"/>
        <v>262697.78999999998</v>
      </c>
      <c r="N357" s="29">
        <v>0</v>
      </c>
      <c r="O357" s="29">
        <v>0</v>
      </c>
      <c r="P357" s="29">
        <v>0</v>
      </c>
      <c r="Q357" s="29">
        <f>'Таблица 3 '!C347</f>
        <v>262697.78999999998</v>
      </c>
      <c r="R357" s="29">
        <f t="shared" si="73"/>
        <v>262697.78999999998</v>
      </c>
      <c r="S357" s="29">
        <v>0</v>
      </c>
      <c r="T357" s="29">
        <f t="shared" si="69"/>
        <v>72.229252130877086</v>
      </c>
      <c r="U357" s="29">
        <f t="shared" si="70"/>
        <v>72.229252130877086</v>
      </c>
      <c r="V357" s="33" t="s">
        <v>45</v>
      </c>
    </row>
    <row r="358" spans="1:22" s="44" customFormat="1" ht="45" customHeight="1" x14ac:dyDescent="0.25">
      <c r="A358" s="28">
        <v>14</v>
      </c>
      <c r="B358" s="37" t="s">
        <v>451</v>
      </c>
      <c r="C358" s="25" t="s">
        <v>43</v>
      </c>
      <c r="D358" s="25">
        <v>1966</v>
      </c>
      <c r="E358" s="27" t="s">
        <v>39</v>
      </c>
      <c r="F358" s="25" t="s">
        <v>44</v>
      </c>
      <c r="G358" s="28">
        <v>4</v>
      </c>
      <c r="H358" s="28">
        <v>4</v>
      </c>
      <c r="I358" s="88">
        <v>4405.12</v>
      </c>
      <c r="J358" s="89">
        <v>3639</v>
      </c>
      <c r="K358" s="89">
        <v>44.2</v>
      </c>
      <c r="L358" s="90">
        <v>118</v>
      </c>
      <c r="M358" s="29">
        <f t="shared" si="72"/>
        <v>262697.78999999998</v>
      </c>
      <c r="N358" s="29">
        <v>0</v>
      </c>
      <c r="O358" s="29">
        <v>0</v>
      </c>
      <c r="P358" s="29">
        <v>0</v>
      </c>
      <c r="Q358" s="29">
        <f>'Таблица 3 '!C348</f>
        <v>262697.78999999998</v>
      </c>
      <c r="R358" s="29">
        <f t="shared" si="73"/>
        <v>262697.78999999998</v>
      </c>
      <c r="S358" s="29">
        <v>0</v>
      </c>
      <c r="T358" s="29">
        <f t="shared" si="69"/>
        <v>72.189554822753493</v>
      </c>
      <c r="U358" s="29">
        <f t="shared" si="70"/>
        <v>72.189554822753493</v>
      </c>
      <c r="V358" s="33" t="s">
        <v>45</v>
      </c>
    </row>
    <row r="359" spans="1:22" s="44" customFormat="1" ht="30" customHeight="1" x14ac:dyDescent="0.25">
      <c r="A359" s="322" t="s">
        <v>452</v>
      </c>
      <c r="B359" s="322"/>
      <c r="C359" s="18" t="s">
        <v>39</v>
      </c>
      <c r="D359" s="18" t="s">
        <v>39</v>
      </c>
      <c r="E359" s="19" t="s">
        <v>39</v>
      </c>
      <c r="F359" s="18" t="s">
        <v>39</v>
      </c>
      <c r="G359" s="20" t="s">
        <v>39</v>
      </c>
      <c r="H359" s="20" t="s">
        <v>39</v>
      </c>
      <c r="I359" s="21">
        <f t="shared" ref="I359:S359" si="74">SUM(I360:I369)</f>
        <v>23559.41</v>
      </c>
      <c r="J359" s="21">
        <f t="shared" si="74"/>
        <v>16715.739999999998</v>
      </c>
      <c r="K359" s="21">
        <f t="shared" si="74"/>
        <v>16068.639999999998</v>
      </c>
      <c r="L359" s="22">
        <f t="shared" si="74"/>
        <v>572</v>
      </c>
      <c r="M359" s="21">
        <f t="shared" si="74"/>
        <v>50131385.139999993</v>
      </c>
      <c r="N359" s="21">
        <f t="shared" si="74"/>
        <v>0</v>
      </c>
      <c r="O359" s="21">
        <f t="shared" si="74"/>
        <v>0</v>
      </c>
      <c r="P359" s="21">
        <f t="shared" si="74"/>
        <v>0</v>
      </c>
      <c r="Q359" s="21">
        <f t="shared" si="74"/>
        <v>50131385.139999993</v>
      </c>
      <c r="R359" s="21">
        <f t="shared" si="74"/>
        <v>50131385.139999993</v>
      </c>
      <c r="S359" s="21">
        <f t="shared" si="74"/>
        <v>0</v>
      </c>
      <c r="T359" s="24" t="s">
        <v>40</v>
      </c>
      <c r="U359" s="24" t="s">
        <v>40</v>
      </c>
      <c r="V359" s="20" t="s">
        <v>40</v>
      </c>
    </row>
    <row r="360" spans="1:22" s="44" customFormat="1" ht="45.75" customHeight="1" x14ac:dyDescent="0.25">
      <c r="A360" s="25">
        <v>1</v>
      </c>
      <c r="B360" s="26" t="s">
        <v>453</v>
      </c>
      <c r="C360" s="25" t="s">
        <v>43</v>
      </c>
      <c r="D360" s="91">
        <v>1990</v>
      </c>
      <c r="E360" s="27" t="s">
        <v>39</v>
      </c>
      <c r="F360" s="25" t="s">
        <v>77</v>
      </c>
      <c r="G360" s="28">
        <v>4</v>
      </c>
      <c r="H360" s="28">
        <v>3</v>
      </c>
      <c r="I360" s="29">
        <v>3173.6</v>
      </c>
      <c r="J360" s="29">
        <v>2323.4</v>
      </c>
      <c r="K360" s="29">
        <v>2323.4</v>
      </c>
      <c r="L360" s="30">
        <v>76</v>
      </c>
      <c r="M360" s="31">
        <f t="shared" ref="M360:M369" si="75">SUM(N360:Q360)</f>
        <v>4971031.1399999997</v>
      </c>
      <c r="N360" s="29">
        <v>0</v>
      </c>
      <c r="O360" s="29">
        <v>0</v>
      </c>
      <c r="P360" s="29">
        <v>0</v>
      </c>
      <c r="Q360" s="29">
        <f>'Таблица 3 '!C350</f>
        <v>4971031.1399999997</v>
      </c>
      <c r="R360" s="29">
        <f t="shared" ref="R360:R369" si="76">Q360</f>
        <v>4971031.1399999997</v>
      </c>
      <c r="S360" s="29">
        <v>0</v>
      </c>
      <c r="T360" s="29">
        <f t="shared" si="69"/>
        <v>2139.5502883704912</v>
      </c>
      <c r="U360" s="31">
        <f t="shared" si="70"/>
        <v>2139.5502883704912</v>
      </c>
      <c r="V360" s="33" t="s">
        <v>45</v>
      </c>
    </row>
    <row r="361" spans="1:22" s="44" customFormat="1" ht="45.75" customHeight="1" x14ac:dyDescent="0.25">
      <c r="A361" s="25">
        <v>2</v>
      </c>
      <c r="B361" s="26" t="s">
        <v>454</v>
      </c>
      <c r="C361" s="25" t="s">
        <v>43</v>
      </c>
      <c r="D361" s="91">
        <v>1974</v>
      </c>
      <c r="E361" s="27" t="s">
        <v>39</v>
      </c>
      <c r="F361" s="25" t="s">
        <v>77</v>
      </c>
      <c r="G361" s="28" t="s">
        <v>422</v>
      </c>
      <c r="H361" s="28" t="s">
        <v>415</v>
      </c>
      <c r="I361" s="29">
        <v>4252</v>
      </c>
      <c r="J361" s="29">
        <v>3654.05</v>
      </c>
      <c r="K361" s="42">
        <v>3382.15</v>
      </c>
      <c r="L361" s="30">
        <v>140</v>
      </c>
      <c r="M361" s="31">
        <f t="shared" si="75"/>
        <v>5165490.9800000004</v>
      </c>
      <c r="N361" s="29">
        <v>0</v>
      </c>
      <c r="O361" s="29">
        <v>0</v>
      </c>
      <c r="P361" s="29">
        <v>0</v>
      </c>
      <c r="Q361" s="29">
        <f>'Таблица 3 '!C351</f>
        <v>5165490.9800000004</v>
      </c>
      <c r="R361" s="29">
        <f t="shared" si="76"/>
        <v>5165490.9800000004</v>
      </c>
      <c r="S361" s="42">
        <v>0</v>
      </c>
      <c r="T361" s="29">
        <f t="shared" si="69"/>
        <v>1413.6344549198834</v>
      </c>
      <c r="U361" s="31">
        <f t="shared" si="70"/>
        <v>1413.6344549198834</v>
      </c>
      <c r="V361" s="33" t="s">
        <v>45</v>
      </c>
    </row>
    <row r="362" spans="1:22" s="44" customFormat="1" ht="45" x14ac:dyDescent="0.25">
      <c r="A362" s="25">
        <v>3</v>
      </c>
      <c r="B362" s="26" t="s">
        <v>455</v>
      </c>
      <c r="C362" s="25" t="s">
        <v>43</v>
      </c>
      <c r="D362" s="91">
        <v>1947</v>
      </c>
      <c r="E362" s="27" t="s">
        <v>39</v>
      </c>
      <c r="F362" s="25" t="s">
        <v>456</v>
      </c>
      <c r="G362" s="28" t="s">
        <v>420</v>
      </c>
      <c r="H362" s="28">
        <v>2</v>
      </c>
      <c r="I362" s="29">
        <v>1221</v>
      </c>
      <c r="J362" s="29">
        <v>542.79999999999995</v>
      </c>
      <c r="K362" s="29">
        <v>542.79999999999995</v>
      </c>
      <c r="L362" s="30">
        <v>15</v>
      </c>
      <c r="M362" s="31">
        <f t="shared" si="75"/>
        <v>8183947.8200000003</v>
      </c>
      <c r="N362" s="29">
        <v>0</v>
      </c>
      <c r="O362" s="29">
        <v>0</v>
      </c>
      <c r="P362" s="29">
        <v>0</v>
      </c>
      <c r="Q362" s="29">
        <f>'Таблица 3 '!C352</f>
        <v>8183947.8200000003</v>
      </c>
      <c r="R362" s="29">
        <f t="shared" si="76"/>
        <v>8183947.8200000003</v>
      </c>
      <c r="S362" s="29">
        <v>0</v>
      </c>
      <c r="T362" s="29">
        <f t="shared" si="69"/>
        <v>15077.280434782611</v>
      </c>
      <c r="U362" s="31">
        <f t="shared" si="70"/>
        <v>15077.280434782611</v>
      </c>
      <c r="V362" s="33" t="s">
        <v>45</v>
      </c>
    </row>
    <row r="363" spans="1:22" s="44" customFormat="1" ht="45" x14ac:dyDescent="0.25">
      <c r="A363" s="25">
        <v>4</v>
      </c>
      <c r="B363" s="26" t="s">
        <v>457</v>
      </c>
      <c r="C363" s="25" t="s">
        <v>43</v>
      </c>
      <c r="D363" s="91">
        <v>1947</v>
      </c>
      <c r="E363" s="27" t="s">
        <v>39</v>
      </c>
      <c r="F363" s="25" t="s">
        <v>456</v>
      </c>
      <c r="G363" s="28" t="s">
        <v>420</v>
      </c>
      <c r="H363" s="28" t="s">
        <v>420</v>
      </c>
      <c r="I363" s="29">
        <v>1360.8</v>
      </c>
      <c r="J363" s="29">
        <v>542.4</v>
      </c>
      <c r="K363" s="29">
        <v>542.4</v>
      </c>
      <c r="L363" s="30">
        <v>14</v>
      </c>
      <c r="M363" s="31">
        <f t="shared" si="75"/>
        <v>2774766.65</v>
      </c>
      <c r="N363" s="29">
        <v>0</v>
      </c>
      <c r="O363" s="29">
        <v>0</v>
      </c>
      <c r="P363" s="29">
        <v>0</v>
      </c>
      <c r="Q363" s="29">
        <f>'Таблица 3 '!C353</f>
        <v>2774766.65</v>
      </c>
      <c r="R363" s="29">
        <f t="shared" si="76"/>
        <v>2774766.65</v>
      </c>
      <c r="S363" s="29">
        <v>0</v>
      </c>
      <c r="T363" s="29">
        <f t="shared" si="69"/>
        <v>5115.7202249262536</v>
      </c>
      <c r="U363" s="31">
        <f t="shared" si="70"/>
        <v>5115.7202249262536</v>
      </c>
      <c r="V363" s="33" t="s">
        <v>45</v>
      </c>
    </row>
    <row r="364" spans="1:22" s="44" customFormat="1" ht="45" x14ac:dyDescent="0.25">
      <c r="A364" s="25">
        <v>5</v>
      </c>
      <c r="B364" s="26" t="s">
        <v>458</v>
      </c>
      <c r="C364" s="25" t="s">
        <v>43</v>
      </c>
      <c r="D364" s="91">
        <v>1975</v>
      </c>
      <c r="E364" s="27" t="s">
        <v>39</v>
      </c>
      <c r="F364" s="25" t="s">
        <v>77</v>
      </c>
      <c r="G364" s="28">
        <v>5</v>
      </c>
      <c r="H364" s="28">
        <v>4</v>
      </c>
      <c r="I364" s="32">
        <v>4072.61</v>
      </c>
      <c r="J364" s="32">
        <v>3487.45</v>
      </c>
      <c r="K364" s="32">
        <v>3460.05</v>
      </c>
      <c r="L364" s="35">
        <v>129</v>
      </c>
      <c r="M364" s="31">
        <f t="shared" si="75"/>
        <v>6231085.7400000002</v>
      </c>
      <c r="N364" s="29">
        <v>0</v>
      </c>
      <c r="O364" s="29">
        <v>0</v>
      </c>
      <c r="P364" s="29">
        <v>0</v>
      </c>
      <c r="Q364" s="29">
        <f>'Таблица 3 '!C354</f>
        <v>6231085.7400000002</v>
      </c>
      <c r="R364" s="29">
        <f t="shared" si="76"/>
        <v>6231085.7400000002</v>
      </c>
      <c r="S364" s="32">
        <v>0</v>
      </c>
      <c r="T364" s="31">
        <f t="shared" si="69"/>
        <v>1786.7168676253425</v>
      </c>
      <c r="U364" s="31">
        <f t="shared" si="70"/>
        <v>1786.7168676253425</v>
      </c>
      <c r="V364" s="33" t="s">
        <v>45</v>
      </c>
    </row>
    <row r="365" spans="1:22" s="44" customFormat="1" ht="45" x14ac:dyDescent="0.25">
      <c r="A365" s="25">
        <v>6</v>
      </c>
      <c r="B365" s="26" t="s">
        <v>459</v>
      </c>
      <c r="C365" s="25" t="s">
        <v>43</v>
      </c>
      <c r="D365" s="91">
        <v>1973</v>
      </c>
      <c r="E365" s="27" t="s">
        <v>39</v>
      </c>
      <c r="F365" s="25" t="s">
        <v>77</v>
      </c>
      <c r="G365" s="28">
        <v>5</v>
      </c>
      <c r="H365" s="28">
        <v>4</v>
      </c>
      <c r="I365" s="32">
        <v>3918.7</v>
      </c>
      <c r="J365" s="32">
        <v>2883.24</v>
      </c>
      <c r="K365" s="32">
        <v>2821.64</v>
      </c>
      <c r="L365" s="35">
        <v>96</v>
      </c>
      <c r="M365" s="31">
        <f t="shared" si="75"/>
        <v>6100174.3899999997</v>
      </c>
      <c r="N365" s="29">
        <v>0</v>
      </c>
      <c r="O365" s="29">
        <v>0</v>
      </c>
      <c r="P365" s="29">
        <v>0</v>
      </c>
      <c r="Q365" s="29">
        <f>'Таблица 3 '!C355</f>
        <v>6100174.3899999997</v>
      </c>
      <c r="R365" s="29">
        <f t="shared" si="76"/>
        <v>6100174.3899999997</v>
      </c>
      <c r="S365" s="32">
        <v>0</v>
      </c>
      <c r="T365" s="31">
        <f t="shared" si="69"/>
        <v>2115.7359047460495</v>
      </c>
      <c r="U365" s="31">
        <f t="shared" si="70"/>
        <v>2115.7359047460495</v>
      </c>
      <c r="V365" s="33" t="s">
        <v>45</v>
      </c>
    </row>
    <row r="366" spans="1:22" s="44" customFormat="1" ht="45" x14ac:dyDescent="0.25">
      <c r="A366" s="25">
        <v>7</v>
      </c>
      <c r="B366" s="26" t="s">
        <v>460</v>
      </c>
      <c r="C366" s="25" t="s">
        <v>43</v>
      </c>
      <c r="D366" s="91">
        <v>1997</v>
      </c>
      <c r="E366" s="27" t="s">
        <v>39</v>
      </c>
      <c r="F366" s="25" t="s">
        <v>77</v>
      </c>
      <c r="G366" s="28" t="s">
        <v>461</v>
      </c>
      <c r="H366" s="28" t="s">
        <v>461</v>
      </c>
      <c r="I366" s="29">
        <v>2792.4</v>
      </c>
      <c r="J366" s="29">
        <v>1735.9</v>
      </c>
      <c r="K366" s="29">
        <v>1510.6</v>
      </c>
      <c r="L366" s="30">
        <v>48</v>
      </c>
      <c r="M366" s="31">
        <f t="shared" si="75"/>
        <v>5077022.41</v>
      </c>
      <c r="N366" s="29">
        <v>0</v>
      </c>
      <c r="O366" s="29">
        <v>0</v>
      </c>
      <c r="P366" s="29">
        <v>0</v>
      </c>
      <c r="Q366" s="29">
        <f>'Таблица 3 '!C356</f>
        <v>5077022.41</v>
      </c>
      <c r="R366" s="29">
        <f t="shared" si="76"/>
        <v>5077022.41</v>
      </c>
      <c r="S366" s="29">
        <v>0</v>
      </c>
      <c r="T366" s="29">
        <f t="shared" si="69"/>
        <v>2924.7205541793883</v>
      </c>
      <c r="U366" s="31">
        <f t="shared" si="70"/>
        <v>2924.7205541793883</v>
      </c>
      <c r="V366" s="33" t="s">
        <v>45</v>
      </c>
    </row>
    <row r="367" spans="1:22" s="44" customFormat="1" ht="45" x14ac:dyDescent="0.25">
      <c r="A367" s="25">
        <v>8</v>
      </c>
      <c r="B367" s="26" t="s">
        <v>462</v>
      </c>
      <c r="C367" s="25" t="s">
        <v>43</v>
      </c>
      <c r="D367" s="91">
        <v>1955</v>
      </c>
      <c r="E367" s="27">
        <v>2019</v>
      </c>
      <c r="F367" s="25" t="s">
        <v>77</v>
      </c>
      <c r="G367" s="28" t="s">
        <v>420</v>
      </c>
      <c r="H367" s="28" t="s">
        <v>420</v>
      </c>
      <c r="I367" s="29">
        <v>715.7</v>
      </c>
      <c r="J367" s="29">
        <v>678.8</v>
      </c>
      <c r="K367" s="29">
        <v>678.8</v>
      </c>
      <c r="L367" s="30">
        <v>22</v>
      </c>
      <c r="M367" s="31">
        <f t="shared" si="75"/>
        <v>4878003.46</v>
      </c>
      <c r="N367" s="29">
        <v>0</v>
      </c>
      <c r="O367" s="29">
        <v>0</v>
      </c>
      <c r="P367" s="29">
        <v>0</v>
      </c>
      <c r="Q367" s="29">
        <f>'Таблица 3 '!C357</f>
        <v>4878003.46</v>
      </c>
      <c r="R367" s="29">
        <f t="shared" si="76"/>
        <v>4878003.46</v>
      </c>
      <c r="S367" s="42">
        <v>0</v>
      </c>
      <c r="T367" s="29">
        <f t="shared" si="69"/>
        <v>7186.2160577489694</v>
      </c>
      <c r="U367" s="31">
        <f t="shared" si="70"/>
        <v>7186.2160577489694</v>
      </c>
      <c r="V367" s="33" t="s">
        <v>45</v>
      </c>
    </row>
    <row r="368" spans="1:22" s="44" customFormat="1" ht="45" x14ac:dyDescent="0.25">
      <c r="A368" s="25">
        <v>9</v>
      </c>
      <c r="B368" s="26" t="s">
        <v>463</v>
      </c>
      <c r="C368" s="25" t="s">
        <v>43</v>
      </c>
      <c r="D368" s="91">
        <v>1953</v>
      </c>
      <c r="E368" s="27" t="s">
        <v>140</v>
      </c>
      <c r="F368" s="25" t="s">
        <v>456</v>
      </c>
      <c r="G368" s="28">
        <v>2</v>
      </c>
      <c r="H368" s="28">
        <v>1</v>
      </c>
      <c r="I368" s="29">
        <v>341.1</v>
      </c>
      <c r="J368" s="29">
        <v>228.8</v>
      </c>
      <c r="K368" s="29">
        <v>228.8</v>
      </c>
      <c r="L368" s="30">
        <v>5</v>
      </c>
      <c r="M368" s="31">
        <f t="shared" si="75"/>
        <v>4477590.55</v>
      </c>
      <c r="N368" s="29">
        <v>0</v>
      </c>
      <c r="O368" s="29">
        <v>0</v>
      </c>
      <c r="P368" s="29">
        <v>0</v>
      </c>
      <c r="Q368" s="29">
        <f>'Таблица 3 '!C358</f>
        <v>4477590.55</v>
      </c>
      <c r="R368" s="29">
        <f t="shared" si="76"/>
        <v>4477590.55</v>
      </c>
      <c r="S368" s="29">
        <v>0</v>
      </c>
      <c r="T368" s="29">
        <f t="shared" si="69"/>
        <v>19569.888767482516</v>
      </c>
      <c r="U368" s="31">
        <f t="shared" si="70"/>
        <v>19569.888767482516</v>
      </c>
      <c r="V368" s="33" t="s">
        <v>45</v>
      </c>
    </row>
    <row r="369" spans="1:23" s="44" customFormat="1" ht="45" x14ac:dyDescent="0.25">
      <c r="A369" s="25">
        <v>10</v>
      </c>
      <c r="B369" s="26" t="s">
        <v>464</v>
      </c>
      <c r="C369" s="25" t="s">
        <v>43</v>
      </c>
      <c r="D369" s="91">
        <v>1952</v>
      </c>
      <c r="E369" s="27" t="s">
        <v>39</v>
      </c>
      <c r="F369" s="25" t="s">
        <v>456</v>
      </c>
      <c r="G369" s="28">
        <v>2</v>
      </c>
      <c r="H369" s="28">
        <v>2</v>
      </c>
      <c r="I369" s="29">
        <v>1711.5</v>
      </c>
      <c r="J369" s="29">
        <v>638.9</v>
      </c>
      <c r="K369" s="29">
        <v>578</v>
      </c>
      <c r="L369" s="30">
        <v>27</v>
      </c>
      <c r="M369" s="31">
        <f t="shared" si="75"/>
        <v>2272272</v>
      </c>
      <c r="N369" s="29">
        <v>0</v>
      </c>
      <c r="O369" s="29">
        <v>0</v>
      </c>
      <c r="P369" s="29">
        <v>0</v>
      </c>
      <c r="Q369" s="29">
        <f>'Таблица 3 '!C359</f>
        <v>2272272</v>
      </c>
      <c r="R369" s="29">
        <f t="shared" si="76"/>
        <v>2272272</v>
      </c>
      <c r="S369" s="29">
        <v>0</v>
      </c>
      <c r="T369" s="29">
        <f t="shared" si="69"/>
        <v>3556.5377993426205</v>
      </c>
      <c r="U369" s="31">
        <f t="shared" si="70"/>
        <v>3556.5377993426205</v>
      </c>
      <c r="V369" s="33" t="s">
        <v>45</v>
      </c>
    </row>
    <row r="370" spans="1:23" s="23" customFormat="1" ht="26.45" customHeight="1" x14ac:dyDescent="0.2">
      <c r="A370" s="326" t="s">
        <v>465</v>
      </c>
      <c r="B370" s="326"/>
      <c r="C370" s="20" t="s">
        <v>39</v>
      </c>
      <c r="D370" s="20" t="s">
        <v>39</v>
      </c>
      <c r="E370" s="62" t="s">
        <v>39</v>
      </c>
      <c r="F370" s="20" t="s">
        <v>39</v>
      </c>
      <c r="G370" s="20" t="s">
        <v>39</v>
      </c>
      <c r="H370" s="20" t="s">
        <v>39</v>
      </c>
      <c r="I370" s="60">
        <f t="shared" ref="I370:S370" si="77">SUM(I371:I379)</f>
        <v>7035.5499999999993</v>
      </c>
      <c r="J370" s="60">
        <f t="shared" si="77"/>
        <v>6045.8099999999995</v>
      </c>
      <c r="K370" s="60">
        <f t="shared" si="77"/>
        <v>2645.61</v>
      </c>
      <c r="L370" s="61">
        <f t="shared" si="77"/>
        <v>234</v>
      </c>
      <c r="M370" s="60">
        <f t="shared" si="77"/>
        <v>14154042</v>
      </c>
      <c r="N370" s="60">
        <f t="shared" si="77"/>
        <v>0</v>
      </c>
      <c r="O370" s="60">
        <f t="shared" si="77"/>
        <v>0</v>
      </c>
      <c r="P370" s="60">
        <f t="shared" si="77"/>
        <v>0</v>
      </c>
      <c r="Q370" s="60">
        <f t="shared" si="77"/>
        <v>14154042</v>
      </c>
      <c r="R370" s="60">
        <f t="shared" si="77"/>
        <v>14154042</v>
      </c>
      <c r="S370" s="60">
        <f t="shared" si="77"/>
        <v>0</v>
      </c>
      <c r="T370" s="24" t="s">
        <v>39</v>
      </c>
      <c r="U370" s="24" t="s">
        <v>39</v>
      </c>
      <c r="V370" s="20" t="s">
        <v>39</v>
      </c>
    </row>
    <row r="371" spans="1:23" s="44" customFormat="1" ht="45" x14ac:dyDescent="0.25">
      <c r="A371" s="25">
        <v>1</v>
      </c>
      <c r="B371" s="71" t="s">
        <v>466</v>
      </c>
      <c r="C371" s="25" t="s">
        <v>43</v>
      </c>
      <c r="D371" s="28">
        <v>1988</v>
      </c>
      <c r="E371" s="63" t="s">
        <v>39</v>
      </c>
      <c r="F371" s="25" t="s">
        <v>242</v>
      </c>
      <c r="G371" s="28">
        <v>3</v>
      </c>
      <c r="H371" s="28">
        <v>2</v>
      </c>
      <c r="I371" s="29">
        <v>959</v>
      </c>
      <c r="J371" s="29">
        <v>569</v>
      </c>
      <c r="K371" s="29">
        <v>261</v>
      </c>
      <c r="L371" s="30">
        <v>12</v>
      </c>
      <c r="M371" s="29">
        <f t="shared" ref="M371:M379" si="78">SUM(N371:Q371)</f>
        <v>3095482.17</v>
      </c>
      <c r="N371" s="29">
        <v>0</v>
      </c>
      <c r="O371" s="29">
        <v>0</v>
      </c>
      <c r="P371" s="29">
        <v>0</v>
      </c>
      <c r="Q371" s="29">
        <f>'Таблица 3 '!C361</f>
        <v>3095482.17</v>
      </c>
      <c r="R371" s="29">
        <f t="shared" ref="R371:R379" si="79">Q371</f>
        <v>3095482.17</v>
      </c>
      <c r="S371" s="29">
        <v>0</v>
      </c>
      <c r="T371" s="29">
        <f t="shared" si="69"/>
        <v>5440.2147100175744</v>
      </c>
      <c r="U371" s="29">
        <f t="shared" si="70"/>
        <v>5440.2147100175744</v>
      </c>
      <c r="V371" s="33" t="s">
        <v>45</v>
      </c>
    </row>
    <row r="372" spans="1:23" s="44" customFormat="1" ht="45" x14ac:dyDescent="0.25">
      <c r="A372" s="25">
        <v>2</v>
      </c>
      <c r="B372" s="38" t="s">
        <v>467</v>
      </c>
      <c r="C372" s="25" t="s">
        <v>43</v>
      </c>
      <c r="D372" s="28">
        <v>1994</v>
      </c>
      <c r="E372" s="63" t="s">
        <v>39</v>
      </c>
      <c r="F372" s="25" t="s">
        <v>77</v>
      </c>
      <c r="G372" s="28">
        <v>2</v>
      </c>
      <c r="H372" s="28">
        <v>3</v>
      </c>
      <c r="I372" s="29">
        <v>1266</v>
      </c>
      <c r="J372" s="29">
        <v>732.55</v>
      </c>
      <c r="K372" s="29">
        <v>732.55</v>
      </c>
      <c r="L372" s="30">
        <v>29</v>
      </c>
      <c r="M372" s="29">
        <f t="shared" si="78"/>
        <v>701311.7</v>
      </c>
      <c r="N372" s="29">
        <v>0</v>
      </c>
      <c r="O372" s="29">
        <v>0</v>
      </c>
      <c r="P372" s="29">
        <v>0</v>
      </c>
      <c r="Q372" s="29">
        <f>'Таблица 3 '!C362</f>
        <v>701311.7</v>
      </c>
      <c r="R372" s="29">
        <f t="shared" si="79"/>
        <v>701311.7</v>
      </c>
      <c r="S372" s="42">
        <v>0</v>
      </c>
      <c r="T372" s="29">
        <f t="shared" si="69"/>
        <v>957.35676745614637</v>
      </c>
      <c r="U372" s="29">
        <f t="shared" si="70"/>
        <v>957.35676745614637</v>
      </c>
      <c r="V372" s="33" t="s">
        <v>45</v>
      </c>
    </row>
    <row r="373" spans="1:23" s="44" customFormat="1" ht="45" x14ac:dyDescent="0.25">
      <c r="A373" s="28">
        <v>3</v>
      </c>
      <c r="B373" s="71" t="s">
        <v>468</v>
      </c>
      <c r="C373" s="25" t="s">
        <v>43</v>
      </c>
      <c r="D373" s="28">
        <v>1988</v>
      </c>
      <c r="E373" s="63" t="s">
        <v>39</v>
      </c>
      <c r="F373" s="25" t="s">
        <v>77</v>
      </c>
      <c r="G373" s="28">
        <v>3</v>
      </c>
      <c r="H373" s="28">
        <v>3</v>
      </c>
      <c r="I373" s="29">
        <v>721.5</v>
      </c>
      <c r="J373" s="29">
        <v>721.5</v>
      </c>
      <c r="K373" s="29">
        <v>0</v>
      </c>
      <c r="L373" s="30">
        <v>12</v>
      </c>
      <c r="M373" s="29">
        <f t="shared" si="78"/>
        <v>210123.73</v>
      </c>
      <c r="N373" s="29">
        <v>0</v>
      </c>
      <c r="O373" s="29">
        <v>0</v>
      </c>
      <c r="P373" s="29">
        <v>0</v>
      </c>
      <c r="Q373" s="29">
        <f>'Таблица 3 '!C363</f>
        <v>210123.73</v>
      </c>
      <c r="R373" s="29">
        <f t="shared" si="79"/>
        <v>210123.73</v>
      </c>
      <c r="S373" s="29">
        <v>0</v>
      </c>
      <c r="T373" s="29">
        <f t="shared" si="69"/>
        <v>291.23178101178104</v>
      </c>
      <c r="U373" s="29">
        <f t="shared" si="70"/>
        <v>291.23178101178104</v>
      </c>
      <c r="V373" s="33" t="s">
        <v>45</v>
      </c>
    </row>
    <row r="374" spans="1:23" s="44" customFormat="1" ht="45" x14ac:dyDescent="0.25">
      <c r="A374" s="25">
        <v>4</v>
      </c>
      <c r="B374" s="38" t="s">
        <v>469</v>
      </c>
      <c r="C374" s="25" t="s">
        <v>43</v>
      </c>
      <c r="D374" s="28">
        <v>1961</v>
      </c>
      <c r="E374" s="63" t="s">
        <v>39</v>
      </c>
      <c r="F374" s="25" t="s">
        <v>77</v>
      </c>
      <c r="G374" s="28">
        <v>2</v>
      </c>
      <c r="H374" s="28">
        <v>1</v>
      </c>
      <c r="I374" s="29">
        <v>1143.5</v>
      </c>
      <c r="J374" s="29">
        <v>1143.5</v>
      </c>
      <c r="K374" s="29">
        <v>84.7</v>
      </c>
      <c r="L374" s="30">
        <v>73</v>
      </c>
      <c r="M374" s="29">
        <f t="shared" si="78"/>
        <v>216008.39</v>
      </c>
      <c r="N374" s="29">
        <v>0</v>
      </c>
      <c r="O374" s="29">
        <v>0</v>
      </c>
      <c r="P374" s="29">
        <v>0</v>
      </c>
      <c r="Q374" s="29">
        <f>'Таблица 3 '!C364</f>
        <v>216008.39</v>
      </c>
      <c r="R374" s="29">
        <f t="shared" si="79"/>
        <v>216008.39</v>
      </c>
      <c r="S374" s="29">
        <v>0</v>
      </c>
      <c r="T374" s="29">
        <f t="shared" si="69"/>
        <v>188.90108439003063</v>
      </c>
      <c r="U374" s="29">
        <f t="shared" si="70"/>
        <v>188.90108439003063</v>
      </c>
      <c r="V374" s="33" t="s">
        <v>45</v>
      </c>
    </row>
    <row r="375" spans="1:23" s="44" customFormat="1" ht="45" x14ac:dyDescent="0.25">
      <c r="A375" s="25">
        <v>5</v>
      </c>
      <c r="B375" s="38" t="s">
        <v>470</v>
      </c>
      <c r="C375" s="25" t="s">
        <v>43</v>
      </c>
      <c r="D375" s="28">
        <v>1971</v>
      </c>
      <c r="E375" s="63">
        <v>2024</v>
      </c>
      <c r="F375" s="25" t="s">
        <v>77</v>
      </c>
      <c r="G375" s="28">
        <v>2</v>
      </c>
      <c r="H375" s="28">
        <v>2</v>
      </c>
      <c r="I375" s="29">
        <v>671</v>
      </c>
      <c r="J375" s="29">
        <v>618.61</v>
      </c>
      <c r="K375" s="29">
        <v>574.11</v>
      </c>
      <c r="L375" s="30">
        <v>25</v>
      </c>
      <c r="M375" s="29">
        <f t="shared" si="78"/>
        <v>1380679.2</v>
      </c>
      <c r="N375" s="29">
        <v>0</v>
      </c>
      <c r="O375" s="29">
        <v>0</v>
      </c>
      <c r="P375" s="29">
        <v>0</v>
      </c>
      <c r="Q375" s="29">
        <f>'Таблица 3 '!C365</f>
        <v>1380679.2</v>
      </c>
      <c r="R375" s="29">
        <f t="shared" si="79"/>
        <v>1380679.2</v>
      </c>
      <c r="S375" s="29">
        <v>0</v>
      </c>
      <c r="T375" s="29">
        <f t="shared" si="69"/>
        <v>2231.9057241234377</v>
      </c>
      <c r="U375" s="29">
        <f t="shared" si="70"/>
        <v>2231.9057241234377</v>
      </c>
      <c r="V375" s="33" t="s">
        <v>45</v>
      </c>
    </row>
    <row r="376" spans="1:23" s="44" customFormat="1" ht="45" x14ac:dyDescent="0.25">
      <c r="A376" s="28">
        <v>6</v>
      </c>
      <c r="B376" s="71" t="s">
        <v>471</v>
      </c>
      <c r="C376" s="25" t="s">
        <v>43</v>
      </c>
      <c r="D376" s="28">
        <v>1963</v>
      </c>
      <c r="E376" s="63" t="s">
        <v>39</v>
      </c>
      <c r="F376" s="25" t="s">
        <v>77</v>
      </c>
      <c r="G376" s="28">
        <v>2</v>
      </c>
      <c r="H376" s="28">
        <v>4</v>
      </c>
      <c r="I376" s="29">
        <v>316</v>
      </c>
      <c r="J376" s="29">
        <v>302.10000000000002</v>
      </c>
      <c r="K376" s="29">
        <v>302.10000000000002</v>
      </c>
      <c r="L376" s="30">
        <v>17</v>
      </c>
      <c r="M376" s="29">
        <f t="shared" si="78"/>
        <v>2421323.9200000004</v>
      </c>
      <c r="N376" s="29">
        <v>0</v>
      </c>
      <c r="O376" s="29">
        <v>0</v>
      </c>
      <c r="P376" s="29">
        <v>0</v>
      </c>
      <c r="Q376" s="29">
        <f>'Таблица 3 '!C366</f>
        <v>2421323.9200000004</v>
      </c>
      <c r="R376" s="29">
        <f t="shared" si="79"/>
        <v>2421323.9200000004</v>
      </c>
      <c r="S376" s="29">
        <v>0</v>
      </c>
      <c r="T376" s="29">
        <f t="shared" si="69"/>
        <v>8014.9749089705401</v>
      </c>
      <c r="U376" s="29">
        <f t="shared" si="70"/>
        <v>8014.9749089705401</v>
      </c>
      <c r="V376" s="33" t="s">
        <v>45</v>
      </c>
    </row>
    <row r="377" spans="1:23" s="44" customFormat="1" ht="45" x14ac:dyDescent="0.25">
      <c r="A377" s="25">
        <v>7</v>
      </c>
      <c r="B377" s="71" t="s">
        <v>472</v>
      </c>
      <c r="C377" s="25" t="s">
        <v>43</v>
      </c>
      <c r="D377" s="28">
        <v>1974</v>
      </c>
      <c r="E377" s="63" t="s">
        <v>39</v>
      </c>
      <c r="F377" s="25" t="s">
        <v>77</v>
      </c>
      <c r="G377" s="28">
        <v>2</v>
      </c>
      <c r="H377" s="28">
        <v>2</v>
      </c>
      <c r="I377" s="29">
        <v>691.15</v>
      </c>
      <c r="J377" s="29">
        <v>691.15</v>
      </c>
      <c r="K377" s="29">
        <v>691.15</v>
      </c>
      <c r="L377" s="30">
        <v>24</v>
      </c>
      <c r="M377" s="29">
        <f t="shared" si="78"/>
        <v>4612309.21</v>
      </c>
      <c r="N377" s="29">
        <v>0</v>
      </c>
      <c r="O377" s="29">
        <v>0</v>
      </c>
      <c r="P377" s="29">
        <v>0</v>
      </c>
      <c r="Q377" s="29">
        <f>'Таблица 3 '!C367</f>
        <v>4612309.21</v>
      </c>
      <c r="R377" s="29">
        <f t="shared" si="79"/>
        <v>4612309.21</v>
      </c>
      <c r="S377" s="29">
        <v>0</v>
      </c>
      <c r="T377" s="29">
        <f t="shared" si="69"/>
        <v>6673.3837951240685</v>
      </c>
      <c r="U377" s="29">
        <f t="shared" si="70"/>
        <v>6673.3837951240685</v>
      </c>
      <c r="V377" s="33" t="s">
        <v>45</v>
      </c>
    </row>
    <row r="378" spans="1:23" s="44" customFormat="1" ht="45" x14ac:dyDescent="0.25">
      <c r="A378" s="25">
        <v>8</v>
      </c>
      <c r="B378" s="71" t="s">
        <v>473</v>
      </c>
      <c r="C378" s="25" t="s">
        <v>43</v>
      </c>
      <c r="D378" s="28">
        <v>1973</v>
      </c>
      <c r="E378" s="63" t="s">
        <v>39</v>
      </c>
      <c r="F378" s="25" t="s">
        <v>77</v>
      </c>
      <c r="G378" s="28">
        <v>2</v>
      </c>
      <c r="H378" s="28">
        <v>2</v>
      </c>
      <c r="I378" s="29">
        <v>631.80999999999995</v>
      </c>
      <c r="J378" s="29">
        <v>631.80999999999995</v>
      </c>
      <c r="K378" s="29">
        <v>0</v>
      </c>
      <c r="L378" s="30">
        <v>20</v>
      </c>
      <c r="M378" s="29">
        <f t="shared" si="78"/>
        <v>778401.84</v>
      </c>
      <c r="N378" s="29">
        <v>0</v>
      </c>
      <c r="O378" s="29">
        <v>0</v>
      </c>
      <c r="P378" s="29">
        <v>0</v>
      </c>
      <c r="Q378" s="29">
        <f>'Таблица 3 '!C368</f>
        <v>778401.84</v>
      </c>
      <c r="R378" s="29">
        <f t="shared" si="79"/>
        <v>778401.84</v>
      </c>
      <c r="S378" s="29">
        <v>0</v>
      </c>
      <c r="T378" s="29">
        <f t="shared" si="69"/>
        <v>1232.0188664313639</v>
      </c>
      <c r="U378" s="29">
        <f t="shared" si="70"/>
        <v>1232.0188664313639</v>
      </c>
      <c r="V378" s="33" t="s">
        <v>45</v>
      </c>
    </row>
    <row r="379" spans="1:23" s="44" customFormat="1" ht="45" x14ac:dyDescent="0.25">
      <c r="A379" s="28">
        <v>9</v>
      </c>
      <c r="B379" s="71" t="s">
        <v>474</v>
      </c>
      <c r="C379" s="25" t="s">
        <v>43</v>
      </c>
      <c r="D379" s="28">
        <v>1973</v>
      </c>
      <c r="E379" s="63" t="s">
        <v>39</v>
      </c>
      <c r="F379" s="25" t="s">
        <v>77</v>
      </c>
      <c r="G379" s="28">
        <v>2</v>
      </c>
      <c r="H379" s="28">
        <v>2</v>
      </c>
      <c r="I379" s="29">
        <v>635.59</v>
      </c>
      <c r="J379" s="29">
        <v>635.59</v>
      </c>
      <c r="K379" s="29">
        <v>0</v>
      </c>
      <c r="L379" s="30">
        <v>22</v>
      </c>
      <c r="M379" s="29">
        <f t="shared" si="78"/>
        <v>738401.84</v>
      </c>
      <c r="N379" s="29">
        <v>0</v>
      </c>
      <c r="O379" s="29">
        <v>0</v>
      </c>
      <c r="P379" s="29">
        <v>0</v>
      </c>
      <c r="Q379" s="29">
        <f>'Таблица 3 '!C369</f>
        <v>738401.84</v>
      </c>
      <c r="R379" s="29">
        <f t="shared" si="79"/>
        <v>738401.84</v>
      </c>
      <c r="S379" s="29">
        <v>0</v>
      </c>
      <c r="T379" s="29">
        <f t="shared" si="69"/>
        <v>1161.75811450778</v>
      </c>
      <c r="U379" s="29">
        <f t="shared" si="70"/>
        <v>1161.75811450778</v>
      </c>
      <c r="V379" s="33" t="s">
        <v>45</v>
      </c>
    </row>
    <row r="380" spans="1:23" s="40" customFormat="1" ht="25.5" customHeight="1" x14ac:dyDescent="0.25">
      <c r="A380" s="322" t="s">
        <v>475</v>
      </c>
      <c r="B380" s="322"/>
      <c r="C380" s="18" t="s">
        <v>39</v>
      </c>
      <c r="D380" s="18" t="s">
        <v>39</v>
      </c>
      <c r="E380" s="19" t="s">
        <v>39</v>
      </c>
      <c r="F380" s="18" t="s">
        <v>39</v>
      </c>
      <c r="G380" s="20" t="s">
        <v>39</v>
      </c>
      <c r="H380" s="20" t="s">
        <v>39</v>
      </c>
      <c r="I380" s="21">
        <f t="shared" ref="I380:S380" si="80">SUM(I381:I385)</f>
        <v>8247.0999999999985</v>
      </c>
      <c r="J380" s="21">
        <f t="shared" si="80"/>
        <v>6165.2</v>
      </c>
      <c r="K380" s="21">
        <f t="shared" si="80"/>
        <v>8381.4</v>
      </c>
      <c r="L380" s="22">
        <f t="shared" si="80"/>
        <v>272</v>
      </c>
      <c r="M380" s="21">
        <f t="shared" si="80"/>
        <v>5138679.28</v>
      </c>
      <c r="N380" s="21">
        <f t="shared" si="80"/>
        <v>0</v>
      </c>
      <c r="O380" s="21">
        <f t="shared" si="80"/>
        <v>0</v>
      </c>
      <c r="P380" s="21">
        <f t="shared" si="80"/>
        <v>0</v>
      </c>
      <c r="Q380" s="21">
        <f t="shared" si="80"/>
        <v>5138679.28</v>
      </c>
      <c r="R380" s="21">
        <f t="shared" si="80"/>
        <v>5138679.28</v>
      </c>
      <c r="S380" s="21">
        <f t="shared" si="80"/>
        <v>0</v>
      </c>
      <c r="T380" s="24" t="s">
        <v>40</v>
      </c>
      <c r="U380" s="24" t="s">
        <v>40</v>
      </c>
      <c r="V380" s="20" t="s">
        <v>40</v>
      </c>
    </row>
    <row r="381" spans="1:23" s="40" customFormat="1" ht="45" x14ac:dyDescent="0.25">
      <c r="A381" s="25">
        <v>1</v>
      </c>
      <c r="B381" s="26" t="s">
        <v>476</v>
      </c>
      <c r="C381" s="25" t="s">
        <v>43</v>
      </c>
      <c r="D381" s="27" t="s">
        <v>477</v>
      </c>
      <c r="E381" s="27" t="s">
        <v>39</v>
      </c>
      <c r="F381" s="25" t="s">
        <v>48</v>
      </c>
      <c r="G381" s="28">
        <v>4</v>
      </c>
      <c r="H381" s="28">
        <v>4</v>
      </c>
      <c r="I381" s="29">
        <v>4824</v>
      </c>
      <c r="J381" s="29">
        <v>2945.6</v>
      </c>
      <c r="K381" s="29">
        <v>5945.6</v>
      </c>
      <c r="L381" s="30">
        <v>158</v>
      </c>
      <c r="M381" s="31">
        <f t="shared" ref="M381:M385" si="81">SUM(N381:Q381)</f>
        <v>1938929.04</v>
      </c>
      <c r="N381" s="29">
        <v>0</v>
      </c>
      <c r="O381" s="29">
        <v>0</v>
      </c>
      <c r="P381" s="29">
        <v>0</v>
      </c>
      <c r="Q381" s="29">
        <f>'Таблица 3 '!C371</f>
        <v>1938929.04</v>
      </c>
      <c r="R381" s="29">
        <f t="shared" ref="R381:R385" si="82">Q381</f>
        <v>1938929.04</v>
      </c>
      <c r="S381" s="29">
        <v>0</v>
      </c>
      <c r="T381" s="29">
        <f t="shared" si="69"/>
        <v>658.24587180879962</v>
      </c>
      <c r="U381" s="31">
        <f t="shared" si="70"/>
        <v>658.24587180879962</v>
      </c>
      <c r="V381" s="92" t="s">
        <v>45</v>
      </c>
    </row>
    <row r="382" spans="1:23" s="40" customFormat="1" ht="43.5" customHeight="1" x14ac:dyDescent="0.25">
      <c r="A382" s="25">
        <v>2</v>
      </c>
      <c r="B382" s="38" t="s">
        <v>478</v>
      </c>
      <c r="C382" s="25" t="s">
        <v>43</v>
      </c>
      <c r="D382" s="25">
        <v>1953</v>
      </c>
      <c r="E382" s="27" t="s">
        <v>39</v>
      </c>
      <c r="F382" s="25" t="s">
        <v>77</v>
      </c>
      <c r="G382" s="28">
        <v>2</v>
      </c>
      <c r="H382" s="28">
        <v>2</v>
      </c>
      <c r="I382" s="29">
        <v>979</v>
      </c>
      <c r="J382" s="29">
        <v>887.2</v>
      </c>
      <c r="K382" s="29">
        <v>887.2</v>
      </c>
      <c r="L382" s="30">
        <v>33</v>
      </c>
      <c r="M382" s="31">
        <f t="shared" si="81"/>
        <v>830748.85</v>
      </c>
      <c r="N382" s="29">
        <v>0</v>
      </c>
      <c r="O382" s="29">
        <v>0</v>
      </c>
      <c r="P382" s="29">
        <v>0</v>
      </c>
      <c r="Q382" s="29">
        <f>'Таблица 3 '!C372</f>
        <v>830748.85</v>
      </c>
      <c r="R382" s="29">
        <f t="shared" si="82"/>
        <v>830748.85</v>
      </c>
      <c r="S382" s="29">
        <v>0</v>
      </c>
      <c r="T382" s="29">
        <f t="shared" si="69"/>
        <v>936.37156221821454</v>
      </c>
      <c r="U382" s="31">
        <f t="shared" si="70"/>
        <v>936.37156221821454</v>
      </c>
      <c r="V382" s="33" t="s">
        <v>45</v>
      </c>
      <c r="W382" s="44"/>
    </row>
    <row r="383" spans="1:23" s="40" customFormat="1" ht="45" x14ac:dyDescent="0.25">
      <c r="A383" s="25">
        <v>3</v>
      </c>
      <c r="B383" s="37" t="s">
        <v>479</v>
      </c>
      <c r="C383" s="25" t="s">
        <v>43</v>
      </c>
      <c r="D383" s="25">
        <v>1952</v>
      </c>
      <c r="E383" s="27" t="s">
        <v>39</v>
      </c>
      <c r="F383" s="25" t="s">
        <v>456</v>
      </c>
      <c r="G383" s="28">
        <v>2</v>
      </c>
      <c r="H383" s="28">
        <v>2</v>
      </c>
      <c r="I383" s="29">
        <v>984.7</v>
      </c>
      <c r="J383" s="29">
        <v>886.1</v>
      </c>
      <c r="K383" s="29">
        <v>752.7</v>
      </c>
      <c r="L383" s="30">
        <v>17</v>
      </c>
      <c r="M383" s="31">
        <f t="shared" si="81"/>
        <v>865348.8</v>
      </c>
      <c r="N383" s="29">
        <v>0</v>
      </c>
      <c r="O383" s="29">
        <v>0</v>
      </c>
      <c r="P383" s="29">
        <v>0</v>
      </c>
      <c r="Q383" s="29">
        <f>'Таблица 3 '!C373</f>
        <v>865348.8</v>
      </c>
      <c r="R383" s="29">
        <f t="shared" si="82"/>
        <v>865348.8</v>
      </c>
      <c r="S383" s="29">
        <v>0</v>
      </c>
      <c r="T383" s="29">
        <f t="shared" si="69"/>
        <v>976.58142421848549</v>
      </c>
      <c r="U383" s="31">
        <f t="shared" si="70"/>
        <v>976.58142421848549</v>
      </c>
      <c r="V383" s="92" t="s">
        <v>45</v>
      </c>
    </row>
    <row r="384" spans="1:23" s="40" customFormat="1" ht="45" x14ac:dyDescent="0.25">
      <c r="A384" s="25">
        <v>4</v>
      </c>
      <c r="B384" s="93" t="s">
        <v>480</v>
      </c>
      <c r="C384" s="25" t="s">
        <v>43</v>
      </c>
      <c r="D384" s="25" t="s">
        <v>287</v>
      </c>
      <c r="E384" s="27">
        <v>2019</v>
      </c>
      <c r="F384" s="25" t="s">
        <v>48</v>
      </c>
      <c r="G384" s="28">
        <v>2</v>
      </c>
      <c r="H384" s="28">
        <v>2</v>
      </c>
      <c r="I384" s="32">
        <v>611.4</v>
      </c>
      <c r="J384" s="32">
        <v>611.4</v>
      </c>
      <c r="K384" s="32">
        <v>251.2</v>
      </c>
      <c r="L384" s="35">
        <v>31</v>
      </c>
      <c r="M384" s="31">
        <f t="shared" si="81"/>
        <v>143785.20000000001</v>
      </c>
      <c r="N384" s="29">
        <v>0</v>
      </c>
      <c r="O384" s="29">
        <v>0</v>
      </c>
      <c r="P384" s="29">
        <v>0</v>
      </c>
      <c r="Q384" s="29">
        <f>'Таблица 3 '!C374</f>
        <v>143785.20000000001</v>
      </c>
      <c r="R384" s="29">
        <f t="shared" si="82"/>
        <v>143785.20000000001</v>
      </c>
      <c r="S384" s="29">
        <v>0</v>
      </c>
      <c r="T384" s="29">
        <f t="shared" si="69"/>
        <v>235.17369970559375</v>
      </c>
      <c r="U384" s="31">
        <f t="shared" si="70"/>
        <v>235.17369970559375</v>
      </c>
      <c r="V384" s="92" t="s">
        <v>45</v>
      </c>
    </row>
    <row r="385" spans="1:23" s="40" customFormat="1" ht="45" x14ac:dyDescent="0.25">
      <c r="A385" s="25">
        <v>5</v>
      </c>
      <c r="B385" s="37" t="s">
        <v>481</v>
      </c>
      <c r="C385" s="25" t="s">
        <v>43</v>
      </c>
      <c r="D385" s="25">
        <v>1989</v>
      </c>
      <c r="E385" s="27" t="s">
        <v>39</v>
      </c>
      <c r="F385" s="25" t="s">
        <v>77</v>
      </c>
      <c r="G385" s="28">
        <v>3</v>
      </c>
      <c r="H385" s="28">
        <v>2</v>
      </c>
      <c r="I385" s="29">
        <v>848</v>
      </c>
      <c r="J385" s="29">
        <v>834.9</v>
      </c>
      <c r="K385" s="29">
        <v>544.70000000000005</v>
      </c>
      <c r="L385" s="30">
        <v>33</v>
      </c>
      <c r="M385" s="29">
        <f t="shared" si="81"/>
        <v>1359867.39</v>
      </c>
      <c r="N385" s="29">
        <v>0</v>
      </c>
      <c r="O385" s="29">
        <v>0</v>
      </c>
      <c r="P385" s="29">
        <v>0</v>
      </c>
      <c r="Q385" s="29">
        <f>'Таблица 3 '!C375</f>
        <v>1359867.39</v>
      </c>
      <c r="R385" s="29">
        <f t="shared" si="82"/>
        <v>1359867.39</v>
      </c>
      <c r="S385" s="29">
        <v>0</v>
      </c>
      <c r="T385" s="29">
        <f t="shared" si="69"/>
        <v>1628.7787639238231</v>
      </c>
      <c r="U385" s="29">
        <f t="shared" si="70"/>
        <v>1628.7787639238231</v>
      </c>
      <c r="V385" s="33" t="s">
        <v>45</v>
      </c>
      <c r="W385" s="44"/>
    </row>
    <row r="386" spans="1:23" s="23" customFormat="1" ht="25.5" customHeight="1" x14ac:dyDescent="0.2">
      <c r="A386" s="322" t="s">
        <v>482</v>
      </c>
      <c r="B386" s="322"/>
      <c r="C386" s="18" t="s">
        <v>39</v>
      </c>
      <c r="D386" s="18" t="s">
        <v>39</v>
      </c>
      <c r="E386" s="19" t="s">
        <v>39</v>
      </c>
      <c r="F386" s="18" t="s">
        <v>39</v>
      </c>
      <c r="G386" s="20" t="s">
        <v>39</v>
      </c>
      <c r="H386" s="20" t="s">
        <v>39</v>
      </c>
      <c r="I386" s="60">
        <f t="shared" ref="I386:S386" si="83">SUM(I387:I388)</f>
        <v>2895.39</v>
      </c>
      <c r="J386" s="60">
        <f t="shared" si="83"/>
        <v>2315.17</v>
      </c>
      <c r="K386" s="60">
        <f t="shared" si="83"/>
        <v>2013.87</v>
      </c>
      <c r="L386" s="61">
        <f t="shared" si="83"/>
        <v>83</v>
      </c>
      <c r="M386" s="60">
        <f t="shared" si="83"/>
        <v>1845810.1700000002</v>
      </c>
      <c r="N386" s="60">
        <f t="shared" si="83"/>
        <v>0</v>
      </c>
      <c r="O386" s="60">
        <f t="shared" si="83"/>
        <v>0</v>
      </c>
      <c r="P386" s="60">
        <f t="shared" si="83"/>
        <v>0</v>
      </c>
      <c r="Q386" s="60">
        <f t="shared" si="83"/>
        <v>1845810.1700000002</v>
      </c>
      <c r="R386" s="60">
        <f t="shared" si="83"/>
        <v>1845810.1700000002</v>
      </c>
      <c r="S386" s="60">
        <f t="shared" si="83"/>
        <v>0</v>
      </c>
      <c r="T386" s="24" t="s">
        <v>39</v>
      </c>
      <c r="U386" s="24" t="s">
        <v>39</v>
      </c>
      <c r="V386" s="59" t="s">
        <v>39</v>
      </c>
    </row>
    <row r="387" spans="1:23" s="44" customFormat="1" ht="45.75" customHeight="1" x14ac:dyDescent="0.25">
      <c r="A387" s="25">
        <v>1</v>
      </c>
      <c r="B387" s="38" t="s">
        <v>483</v>
      </c>
      <c r="C387" s="25" t="s">
        <v>43</v>
      </c>
      <c r="D387" s="25">
        <v>1987</v>
      </c>
      <c r="E387" s="27" t="s">
        <v>39</v>
      </c>
      <c r="F387" s="25" t="s">
        <v>77</v>
      </c>
      <c r="G387" s="28">
        <v>3</v>
      </c>
      <c r="H387" s="28">
        <v>3</v>
      </c>
      <c r="I387" s="29">
        <v>2264.39</v>
      </c>
      <c r="J387" s="29">
        <v>1717.8</v>
      </c>
      <c r="K387" s="29">
        <v>1524</v>
      </c>
      <c r="L387" s="30">
        <v>63</v>
      </c>
      <c r="M387" s="29">
        <f t="shared" ref="M387:M388" si="84">SUM(N387:Q387)</f>
        <v>256410.23999999999</v>
      </c>
      <c r="N387" s="29">
        <v>0</v>
      </c>
      <c r="O387" s="29">
        <v>0</v>
      </c>
      <c r="P387" s="29">
        <v>0</v>
      </c>
      <c r="Q387" s="29">
        <f>'Таблица 3 '!C377</f>
        <v>256410.23999999999</v>
      </c>
      <c r="R387" s="29">
        <f t="shared" ref="R387:R388" si="85">Q387</f>
        <v>256410.23999999999</v>
      </c>
      <c r="S387" s="29">
        <v>0</v>
      </c>
      <c r="T387" s="29">
        <f t="shared" si="69"/>
        <v>149.2666433810688</v>
      </c>
      <c r="U387" s="29">
        <f t="shared" si="70"/>
        <v>149.2666433810688</v>
      </c>
      <c r="V387" s="33" t="s">
        <v>45</v>
      </c>
    </row>
    <row r="388" spans="1:23" s="44" customFormat="1" ht="45" x14ac:dyDescent="0.25">
      <c r="A388" s="25">
        <v>2</v>
      </c>
      <c r="B388" s="38" t="s">
        <v>484</v>
      </c>
      <c r="C388" s="25" t="s">
        <v>43</v>
      </c>
      <c r="D388" s="25">
        <v>1977</v>
      </c>
      <c r="E388" s="27">
        <v>2022</v>
      </c>
      <c r="F388" s="25" t="s">
        <v>77</v>
      </c>
      <c r="G388" s="28">
        <v>2</v>
      </c>
      <c r="H388" s="28">
        <v>2</v>
      </c>
      <c r="I388" s="29">
        <v>631</v>
      </c>
      <c r="J388" s="29">
        <v>597.37</v>
      </c>
      <c r="K388" s="29">
        <v>489.87</v>
      </c>
      <c r="L388" s="30">
        <v>20</v>
      </c>
      <c r="M388" s="29">
        <f t="shared" si="84"/>
        <v>1589399.9300000002</v>
      </c>
      <c r="N388" s="29">
        <v>0</v>
      </c>
      <c r="O388" s="29">
        <v>0</v>
      </c>
      <c r="P388" s="29">
        <v>0</v>
      </c>
      <c r="Q388" s="29">
        <f>'Таблица 3 '!C378</f>
        <v>1589399.9300000002</v>
      </c>
      <c r="R388" s="29">
        <f t="shared" si="85"/>
        <v>1589399.9300000002</v>
      </c>
      <c r="S388" s="29">
        <v>0</v>
      </c>
      <c r="T388" s="29">
        <f t="shared" si="69"/>
        <v>2660.662453755629</v>
      </c>
      <c r="U388" s="29">
        <f t="shared" si="70"/>
        <v>2660.662453755629</v>
      </c>
      <c r="V388" s="33" t="s">
        <v>45</v>
      </c>
    </row>
    <row r="389" spans="1:23" s="23" customFormat="1" ht="30" customHeight="1" x14ac:dyDescent="0.2">
      <c r="A389" s="326" t="s">
        <v>485</v>
      </c>
      <c r="B389" s="326"/>
      <c r="C389" s="18" t="s">
        <v>39</v>
      </c>
      <c r="D389" s="18" t="s">
        <v>39</v>
      </c>
      <c r="E389" s="19" t="s">
        <v>39</v>
      </c>
      <c r="F389" s="18" t="s">
        <v>39</v>
      </c>
      <c r="G389" s="20" t="s">
        <v>39</v>
      </c>
      <c r="H389" s="20" t="s">
        <v>39</v>
      </c>
      <c r="I389" s="60">
        <f t="shared" ref="I389:S389" si="86">SUM(I390:I394)</f>
        <v>5352.2999999999993</v>
      </c>
      <c r="J389" s="60">
        <f t="shared" si="86"/>
        <v>4564.0600000000004</v>
      </c>
      <c r="K389" s="60">
        <f t="shared" si="86"/>
        <v>4463.16</v>
      </c>
      <c r="L389" s="61">
        <f t="shared" si="86"/>
        <v>198</v>
      </c>
      <c r="M389" s="60">
        <f t="shared" si="86"/>
        <v>7888827.0300000003</v>
      </c>
      <c r="N389" s="60">
        <f t="shared" si="86"/>
        <v>0</v>
      </c>
      <c r="O389" s="60">
        <f t="shared" si="86"/>
        <v>0</v>
      </c>
      <c r="P389" s="60">
        <f t="shared" si="86"/>
        <v>0</v>
      </c>
      <c r="Q389" s="60">
        <f t="shared" si="86"/>
        <v>7888827.0300000003</v>
      </c>
      <c r="R389" s="60">
        <f t="shared" si="86"/>
        <v>7888827.0300000003</v>
      </c>
      <c r="S389" s="60">
        <f t="shared" si="86"/>
        <v>0</v>
      </c>
      <c r="T389" s="24" t="s">
        <v>39</v>
      </c>
      <c r="U389" s="24" t="s">
        <v>39</v>
      </c>
      <c r="V389" s="59" t="s">
        <v>39</v>
      </c>
    </row>
    <row r="390" spans="1:23" s="44" customFormat="1" ht="42.75" customHeight="1" x14ac:dyDescent="0.25">
      <c r="A390" s="25">
        <v>1</v>
      </c>
      <c r="B390" s="37" t="s">
        <v>486</v>
      </c>
      <c r="C390" s="25" t="s">
        <v>43</v>
      </c>
      <c r="D390" s="25">
        <v>1983</v>
      </c>
      <c r="E390" s="27" t="s">
        <v>39</v>
      </c>
      <c r="F390" s="25" t="s">
        <v>77</v>
      </c>
      <c r="G390" s="25">
        <v>3</v>
      </c>
      <c r="H390" s="28">
        <v>3</v>
      </c>
      <c r="I390" s="73">
        <v>1741.1</v>
      </c>
      <c r="J390" s="29">
        <v>1544.5</v>
      </c>
      <c r="K390" s="29">
        <v>1544.5</v>
      </c>
      <c r="L390" s="30">
        <v>39</v>
      </c>
      <c r="M390" s="29">
        <f t="shared" ref="M390:M394" si="87">SUM(N390:Q390)</f>
        <v>6802541.4699999997</v>
      </c>
      <c r="N390" s="29">
        <v>0</v>
      </c>
      <c r="O390" s="29">
        <v>0</v>
      </c>
      <c r="P390" s="29">
        <v>0</v>
      </c>
      <c r="Q390" s="29">
        <f>'Таблица 3 '!C380</f>
        <v>6802541.4699999997</v>
      </c>
      <c r="R390" s="29">
        <f t="shared" ref="R390:R394" si="88">Q390</f>
        <v>6802541.4699999997</v>
      </c>
      <c r="S390" s="29">
        <v>0</v>
      </c>
      <c r="T390" s="29">
        <f t="shared" si="69"/>
        <v>4404.3648235674973</v>
      </c>
      <c r="U390" s="29">
        <f t="shared" si="70"/>
        <v>4404.3648235674973</v>
      </c>
      <c r="V390" s="33" t="s">
        <v>45</v>
      </c>
    </row>
    <row r="391" spans="1:23" s="44" customFormat="1" ht="42.75" customHeight="1" x14ac:dyDescent="0.25">
      <c r="A391" s="25">
        <v>2</v>
      </c>
      <c r="B391" s="37" t="s">
        <v>487</v>
      </c>
      <c r="C391" s="25" t="s">
        <v>43</v>
      </c>
      <c r="D391" s="25">
        <v>1977</v>
      </c>
      <c r="E391" s="27" t="s">
        <v>39</v>
      </c>
      <c r="F391" s="25" t="s">
        <v>77</v>
      </c>
      <c r="G391" s="28">
        <v>2</v>
      </c>
      <c r="H391" s="28">
        <v>3</v>
      </c>
      <c r="I391" s="29">
        <v>875.5</v>
      </c>
      <c r="J391" s="29">
        <v>872.75</v>
      </c>
      <c r="K391" s="29">
        <v>872.75</v>
      </c>
      <c r="L391" s="30">
        <v>44</v>
      </c>
      <c r="M391" s="29">
        <f t="shared" si="87"/>
        <v>358384.54</v>
      </c>
      <c r="N391" s="29">
        <v>0</v>
      </c>
      <c r="O391" s="29">
        <v>0</v>
      </c>
      <c r="P391" s="29">
        <v>0</v>
      </c>
      <c r="Q391" s="29">
        <f>'Таблица 3 '!C381</f>
        <v>358384.54</v>
      </c>
      <c r="R391" s="29">
        <f t="shared" si="88"/>
        <v>358384.54</v>
      </c>
      <c r="S391" s="29">
        <v>0</v>
      </c>
      <c r="T391" s="29">
        <f t="shared" si="69"/>
        <v>410.63825837868802</v>
      </c>
      <c r="U391" s="29">
        <f t="shared" si="70"/>
        <v>410.63825837868802</v>
      </c>
      <c r="V391" s="33" t="s">
        <v>45</v>
      </c>
    </row>
    <row r="392" spans="1:23" s="44" customFormat="1" ht="42.75" customHeight="1" x14ac:dyDescent="0.25">
      <c r="A392" s="25">
        <v>3</v>
      </c>
      <c r="B392" s="37" t="s">
        <v>488</v>
      </c>
      <c r="C392" s="25" t="s">
        <v>43</v>
      </c>
      <c r="D392" s="25">
        <v>1976</v>
      </c>
      <c r="E392" s="27" t="s">
        <v>39</v>
      </c>
      <c r="F392" s="25" t="s">
        <v>77</v>
      </c>
      <c r="G392" s="28">
        <v>2</v>
      </c>
      <c r="H392" s="28">
        <v>2</v>
      </c>
      <c r="I392" s="29">
        <v>1055.4000000000001</v>
      </c>
      <c r="J392" s="29">
        <v>719</v>
      </c>
      <c r="K392" s="29">
        <v>661.1</v>
      </c>
      <c r="L392" s="30">
        <v>37</v>
      </c>
      <c r="M392" s="29">
        <f t="shared" si="87"/>
        <v>208075.54</v>
      </c>
      <c r="N392" s="29">
        <v>0</v>
      </c>
      <c r="O392" s="29">
        <v>0</v>
      </c>
      <c r="P392" s="29">
        <v>0</v>
      </c>
      <c r="Q392" s="29">
        <f>'Таблица 3 '!C382</f>
        <v>208075.54</v>
      </c>
      <c r="R392" s="29">
        <f t="shared" si="88"/>
        <v>208075.54</v>
      </c>
      <c r="S392" s="29">
        <v>0</v>
      </c>
      <c r="T392" s="29">
        <f t="shared" si="69"/>
        <v>289.39574408901251</v>
      </c>
      <c r="U392" s="29">
        <f t="shared" si="70"/>
        <v>289.39574408901251</v>
      </c>
      <c r="V392" s="33" t="s">
        <v>45</v>
      </c>
    </row>
    <row r="393" spans="1:23" s="44" customFormat="1" ht="42.75" customHeight="1" x14ac:dyDescent="0.25">
      <c r="A393" s="25">
        <v>4</v>
      </c>
      <c r="B393" s="37" t="s">
        <v>489</v>
      </c>
      <c r="C393" s="25" t="s">
        <v>43</v>
      </c>
      <c r="D393" s="25">
        <v>1971</v>
      </c>
      <c r="E393" s="27" t="s">
        <v>39</v>
      </c>
      <c r="F393" s="25" t="s">
        <v>77</v>
      </c>
      <c r="G393" s="28">
        <v>2</v>
      </c>
      <c r="H393" s="28">
        <v>2</v>
      </c>
      <c r="I393" s="29">
        <v>839.4</v>
      </c>
      <c r="J393" s="29">
        <v>695.01</v>
      </c>
      <c r="K393" s="29">
        <v>694.51</v>
      </c>
      <c r="L393" s="30">
        <v>40</v>
      </c>
      <c r="M393" s="29">
        <f t="shared" si="87"/>
        <v>259912.74</v>
      </c>
      <c r="N393" s="29">
        <v>0</v>
      </c>
      <c r="O393" s="29">
        <v>0</v>
      </c>
      <c r="P393" s="29">
        <v>0</v>
      </c>
      <c r="Q393" s="29">
        <f>'Таблица 3 '!C383</f>
        <v>259912.74</v>
      </c>
      <c r="R393" s="29">
        <f t="shared" si="88"/>
        <v>259912.74</v>
      </c>
      <c r="S393" s="29">
        <v>0</v>
      </c>
      <c r="T393" s="29">
        <f t="shared" si="69"/>
        <v>373.9697846074157</v>
      </c>
      <c r="U393" s="29">
        <f t="shared" si="70"/>
        <v>373.9697846074157</v>
      </c>
      <c r="V393" s="33" t="s">
        <v>45</v>
      </c>
    </row>
    <row r="394" spans="1:23" s="44" customFormat="1" ht="42.75" customHeight="1" x14ac:dyDescent="0.25">
      <c r="A394" s="25">
        <v>5</v>
      </c>
      <c r="B394" s="37" t="s">
        <v>490</v>
      </c>
      <c r="C394" s="25" t="s">
        <v>43</v>
      </c>
      <c r="D394" s="25">
        <v>1972</v>
      </c>
      <c r="E394" s="27" t="s">
        <v>39</v>
      </c>
      <c r="F394" s="25" t="s">
        <v>77</v>
      </c>
      <c r="G394" s="28">
        <v>2</v>
      </c>
      <c r="H394" s="28">
        <v>2</v>
      </c>
      <c r="I394" s="29">
        <v>840.9</v>
      </c>
      <c r="J394" s="29">
        <v>732.8</v>
      </c>
      <c r="K394" s="29">
        <v>690.3</v>
      </c>
      <c r="L394" s="30">
        <v>38</v>
      </c>
      <c r="M394" s="29">
        <f t="shared" si="87"/>
        <v>259912.74</v>
      </c>
      <c r="N394" s="29">
        <v>0</v>
      </c>
      <c r="O394" s="29">
        <v>0</v>
      </c>
      <c r="P394" s="29">
        <v>0</v>
      </c>
      <c r="Q394" s="29">
        <f>'Таблица 3 '!C384</f>
        <v>259912.74</v>
      </c>
      <c r="R394" s="29">
        <f t="shared" si="88"/>
        <v>259912.74</v>
      </c>
      <c r="S394" s="29">
        <v>0</v>
      </c>
      <c r="T394" s="29">
        <f t="shared" si="69"/>
        <v>354.68441593886462</v>
      </c>
      <c r="U394" s="29">
        <f t="shared" si="70"/>
        <v>354.68441593886462</v>
      </c>
      <c r="V394" s="33" t="s">
        <v>45</v>
      </c>
    </row>
    <row r="395" spans="1:23" s="23" customFormat="1" ht="28.5" customHeight="1" x14ac:dyDescent="0.2">
      <c r="A395" s="326" t="s">
        <v>491</v>
      </c>
      <c r="B395" s="326"/>
      <c r="C395" s="20" t="s">
        <v>39</v>
      </c>
      <c r="D395" s="20" t="s">
        <v>39</v>
      </c>
      <c r="E395" s="62" t="s">
        <v>39</v>
      </c>
      <c r="F395" s="20" t="s">
        <v>39</v>
      </c>
      <c r="G395" s="20" t="s">
        <v>39</v>
      </c>
      <c r="H395" s="20" t="s">
        <v>39</v>
      </c>
      <c r="I395" s="60">
        <f t="shared" ref="I395:S395" si="89">SUM(I396:I401)</f>
        <v>8524.7199999999993</v>
      </c>
      <c r="J395" s="60">
        <f t="shared" si="89"/>
        <v>7755.79</v>
      </c>
      <c r="K395" s="60">
        <f t="shared" si="89"/>
        <v>7298.99</v>
      </c>
      <c r="L395" s="61">
        <f t="shared" si="89"/>
        <v>251</v>
      </c>
      <c r="M395" s="60">
        <f t="shared" si="89"/>
        <v>6915654.7000000002</v>
      </c>
      <c r="N395" s="60">
        <f t="shared" si="89"/>
        <v>0</v>
      </c>
      <c r="O395" s="60">
        <f t="shared" si="89"/>
        <v>0</v>
      </c>
      <c r="P395" s="60">
        <f t="shared" si="89"/>
        <v>0</v>
      </c>
      <c r="Q395" s="60">
        <f t="shared" si="89"/>
        <v>6915654.7000000002</v>
      </c>
      <c r="R395" s="60">
        <f t="shared" si="89"/>
        <v>6915654.7000000002</v>
      </c>
      <c r="S395" s="60">
        <f t="shared" si="89"/>
        <v>0</v>
      </c>
      <c r="T395" s="24" t="s">
        <v>39</v>
      </c>
      <c r="U395" s="24" t="s">
        <v>39</v>
      </c>
      <c r="V395" s="20" t="s">
        <v>39</v>
      </c>
    </row>
    <row r="396" spans="1:23" s="44" customFormat="1" ht="45" x14ac:dyDescent="0.25">
      <c r="A396" s="25">
        <v>1</v>
      </c>
      <c r="B396" s="71" t="s">
        <v>492</v>
      </c>
      <c r="C396" s="25" t="s">
        <v>43</v>
      </c>
      <c r="D396" s="28">
        <v>1978</v>
      </c>
      <c r="E396" s="63" t="s">
        <v>39</v>
      </c>
      <c r="F396" s="25" t="s">
        <v>77</v>
      </c>
      <c r="G396" s="28">
        <v>5</v>
      </c>
      <c r="H396" s="28">
        <v>4</v>
      </c>
      <c r="I396" s="29">
        <v>3234</v>
      </c>
      <c r="J396" s="29">
        <v>3143.39</v>
      </c>
      <c r="K396" s="29">
        <v>2880.09</v>
      </c>
      <c r="L396" s="30">
        <v>88</v>
      </c>
      <c r="M396" s="29">
        <f t="shared" ref="M396:M401" si="90">SUM(N396:Q396)</f>
        <v>298930.8</v>
      </c>
      <c r="N396" s="29">
        <v>0</v>
      </c>
      <c r="O396" s="29">
        <v>0</v>
      </c>
      <c r="P396" s="29">
        <v>0</v>
      </c>
      <c r="Q396" s="29">
        <f>'Таблица 3 '!C386</f>
        <v>298930.8</v>
      </c>
      <c r="R396" s="29">
        <f t="shared" ref="R396:R401" si="91">Q396</f>
        <v>298930.8</v>
      </c>
      <c r="S396" s="29">
        <v>0</v>
      </c>
      <c r="T396" s="29">
        <f t="shared" si="69"/>
        <v>95.098221983272836</v>
      </c>
      <c r="U396" s="29">
        <f t="shared" si="70"/>
        <v>95.098221983272836</v>
      </c>
      <c r="V396" s="33" t="s">
        <v>45</v>
      </c>
    </row>
    <row r="397" spans="1:23" s="44" customFormat="1" ht="45" x14ac:dyDescent="0.25">
      <c r="A397" s="28">
        <v>2</v>
      </c>
      <c r="B397" s="71" t="s">
        <v>493</v>
      </c>
      <c r="C397" s="25" t="s">
        <v>43</v>
      </c>
      <c r="D397" s="28">
        <v>2002</v>
      </c>
      <c r="E397" s="63" t="s">
        <v>39</v>
      </c>
      <c r="F397" s="25" t="s">
        <v>77</v>
      </c>
      <c r="G397" s="28">
        <v>5</v>
      </c>
      <c r="H397" s="28">
        <v>2</v>
      </c>
      <c r="I397" s="29">
        <v>2118.1999999999998</v>
      </c>
      <c r="J397" s="29">
        <v>2068.1999999999998</v>
      </c>
      <c r="K397" s="29">
        <v>1874.7</v>
      </c>
      <c r="L397" s="30">
        <v>71</v>
      </c>
      <c r="M397" s="29">
        <f t="shared" si="90"/>
        <v>862596.01</v>
      </c>
      <c r="N397" s="29">
        <v>0</v>
      </c>
      <c r="O397" s="29">
        <v>0</v>
      </c>
      <c r="P397" s="29">
        <v>0</v>
      </c>
      <c r="Q397" s="29">
        <f>'Таблица 3 '!C387</f>
        <v>862596.01</v>
      </c>
      <c r="R397" s="29">
        <f t="shared" si="91"/>
        <v>862596.01</v>
      </c>
      <c r="S397" s="29">
        <v>0</v>
      </c>
      <c r="T397" s="29">
        <f t="shared" si="69"/>
        <v>417.07572285078817</v>
      </c>
      <c r="U397" s="29">
        <f t="shared" si="70"/>
        <v>417.07572285078817</v>
      </c>
      <c r="V397" s="33" t="s">
        <v>45</v>
      </c>
    </row>
    <row r="398" spans="1:23" s="44" customFormat="1" ht="45" x14ac:dyDescent="0.25">
      <c r="A398" s="25">
        <v>3</v>
      </c>
      <c r="B398" s="71" t="s">
        <v>494</v>
      </c>
      <c r="C398" s="25" t="s">
        <v>43</v>
      </c>
      <c r="D398" s="28">
        <v>1973</v>
      </c>
      <c r="E398" s="63" t="s">
        <v>39</v>
      </c>
      <c r="F398" s="25" t="s">
        <v>77</v>
      </c>
      <c r="G398" s="28">
        <v>2</v>
      </c>
      <c r="H398" s="28">
        <v>2</v>
      </c>
      <c r="I398" s="29">
        <v>791.3</v>
      </c>
      <c r="J398" s="29">
        <v>672.88</v>
      </c>
      <c r="K398" s="29">
        <v>672.88</v>
      </c>
      <c r="L398" s="30">
        <v>18</v>
      </c>
      <c r="M398" s="29">
        <f t="shared" si="90"/>
        <v>725902.8</v>
      </c>
      <c r="N398" s="29">
        <v>0</v>
      </c>
      <c r="O398" s="29">
        <v>0</v>
      </c>
      <c r="P398" s="29">
        <v>0</v>
      </c>
      <c r="Q398" s="29">
        <f>'Таблица 3 '!C388</f>
        <v>725902.8</v>
      </c>
      <c r="R398" s="29">
        <f t="shared" si="91"/>
        <v>725902.8</v>
      </c>
      <c r="S398" s="29">
        <v>0</v>
      </c>
      <c r="T398" s="29">
        <f t="shared" si="69"/>
        <v>1078.799785994531</v>
      </c>
      <c r="U398" s="29">
        <f t="shared" si="70"/>
        <v>1078.799785994531</v>
      </c>
      <c r="V398" s="33" t="s">
        <v>45</v>
      </c>
    </row>
    <row r="399" spans="1:23" s="44" customFormat="1" ht="45" x14ac:dyDescent="0.25">
      <c r="A399" s="28">
        <v>4</v>
      </c>
      <c r="B399" s="71" t="s">
        <v>495</v>
      </c>
      <c r="C399" s="25" t="s">
        <v>43</v>
      </c>
      <c r="D399" s="28">
        <v>1964</v>
      </c>
      <c r="E399" s="63" t="s">
        <v>39</v>
      </c>
      <c r="F399" s="25" t="s">
        <v>77</v>
      </c>
      <c r="G399" s="28">
        <v>2</v>
      </c>
      <c r="H399" s="28">
        <v>2</v>
      </c>
      <c r="I399" s="29">
        <v>397</v>
      </c>
      <c r="J399" s="29">
        <v>353.4</v>
      </c>
      <c r="K399" s="29">
        <v>353.4</v>
      </c>
      <c r="L399" s="30">
        <v>13</v>
      </c>
      <c r="M399" s="29">
        <f t="shared" si="90"/>
        <v>2717917.8899999997</v>
      </c>
      <c r="N399" s="29">
        <v>0</v>
      </c>
      <c r="O399" s="29">
        <v>0</v>
      </c>
      <c r="P399" s="29">
        <v>0</v>
      </c>
      <c r="Q399" s="29">
        <f>'Таблица 3 '!C389</f>
        <v>2717917.8899999997</v>
      </c>
      <c r="R399" s="29">
        <f t="shared" si="91"/>
        <v>2717917.8899999997</v>
      </c>
      <c r="S399" s="29">
        <v>0</v>
      </c>
      <c r="T399" s="29">
        <f t="shared" si="69"/>
        <v>7690.7693548387097</v>
      </c>
      <c r="U399" s="29">
        <f t="shared" si="70"/>
        <v>7690.7693548387097</v>
      </c>
      <c r="V399" s="33" t="s">
        <v>45</v>
      </c>
    </row>
    <row r="400" spans="1:23" s="44" customFormat="1" ht="45" x14ac:dyDescent="0.25">
      <c r="A400" s="25">
        <v>5</v>
      </c>
      <c r="B400" s="38" t="s">
        <v>496</v>
      </c>
      <c r="C400" s="25" t="s">
        <v>43</v>
      </c>
      <c r="D400" s="28">
        <v>1968</v>
      </c>
      <c r="E400" s="63" t="s">
        <v>39</v>
      </c>
      <c r="F400" s="25" t="s">
        <v>77</v>
      </c>
      <c r="G400" s="28">
        <v>2</v>
      </c>
      <c r="H400" s="28">
        <v>2</v>
      </c>
      <c r="I400" s="29">
        <v>725.62</v>
      </c>
      <c r="J400" s="29">
        <v>713.42</v>
      </c>
      <c r="K400" s="29">
        <v>713.42</v>
      </c>
      <c r="L400" s="30">
        <v>45</v>
      </c>
      <c r="M400" s="29">
        <f t="shared" si="90"/>
        <v>976898.39999999991</v>
      </c>
      <c r="N400" s="29">
        <v>0</v>
      </c>
      <c r="O400" s="29">
        <v>0</v>
      </c>
      <c r="P400" s="29">
        <v>0</v>
      </c>
      <c r="Q400" s="29">
        <f>'Таблица 3 '!C390</f>
        <v>976898.39999999991</v>
      </c>
      <c r="R400" s="29">
        <f t="shared" si="91"/>
        <v>976898.39999999991</v>
      </c>
      <c r="S400" s="29">
        <v>0</v>
      </c>
      <c r="T400" s="29">
        <f t="shared" si="69"/>
        <v>1369.3173726556586</v>
      </c>
      <c r="U400" s="29">
        <f t="shared" si="70"/>
        <v>1369.3173726556586</v>
      </c>
      <c r="V400" s="33" t="s">
        <v>45</v>
      </c>
    </row>
    <row r="401" spans="1:96" s="44" customFormat="1" ht="45" x14ac:dyDescent="0.25">
      <c r="A401" s="28">
        <v>6</v>
      </c>
      <c r="B401" s="71" t="s">
        <v>497</v>
      </c>
      <c r="C401" s="25" t="s">
        <v>43</v>
      </c>
      <c r="D401" s="28">
        <v>1974</v>
      </c>
      <c r="E401" s="63" t="s">
        <v>39</v>
      </c>
      <c r="F401" s="25" t="s">
        <v>77</v>
      </c>
      <c r="G401" s="28">
        <v>2</v>
      </c>
      <c r="H401" s="28">
        <v>2</v>
      </c>
      <c r="I401" s="29">
        <v>1258.5999999999999</v>
      </c>
      <c r="J401" s="29">
        <v>804.5</v>
      </c>
      <c r="K401" s="29">
        <v>804.5</v>
      </c>
      <c r="L401" s="30">
        <v>16</v>
      </c>
      <c r="M401" s="29">
        <f t="shared" si="90"/>
        <v>1333408.8</v>
      </c>
      <c r="N401" s="29">
        <v>0</v>
      </c>
      <c r="O401" s="29">
        <v>0</v>
      </c>
      <c r="P401" s="29">
        <v>0</v>
      </c>
      <c r="Q401" s="29">
        <f>'Таблица 3 '!C391</f>
        <v>1333408.8</v>
      </c>
      <c r="R401" s="29">
        <f t="shared" si="91"/>
        <v>1333408.8</v>
      </c>
      <c r="S401" s="29">
        <v>0</v>
      </c>
      <c r="T401" s="29">
        <f t="shared" si="69"/>
        <v>1657.4379117464264</v>
      </c>
      <c r="U401" s="29">
        <f t="shared" si="70"/>
        <v>1657.4379117464264</v>
      </c>
      <c r="V401" s="33" t="s">
        <v>45</v>
      </c>
    </row>
    <row r="402" spans="1:96" s="40" customFormat="1" ht="25.5" customHeight="1" x14ac:dyDescent="0.25">
      <c r="A402" s="326" t="s">
        <v>498</v>
      </c>
      <c r="B402" s="326"/>
      <c r="C402" s="78" t="s">
        <v>39</v>
      </c>
      <c r="D402" s="79" t="s">
        <v>39</v>
      </c>
      <c r="E402" s="80" t="s">
        <v>39</v>
      </c>
      <c r="F402" s="78" t="s">
        <v>39</v>
      </c>
      <c r="G402" s="81" t="s">
        <v>39</v>
      </c>
      <c r="H402" s="81" t="s">
        <v>39</v>
      </c>
      <c r="I402" s="84">
        <f t="shared" ref="I402:S402" si="92">SUM(I403:I406)</f>
        <v>4318.8</v>
      </c>
      <c r="J402" s="84">
        <f t="shared" si="92"/>
        <v>3947.7000000000003</v>
      </c>
      <c r="K402" s="84">
        <f t="shared" si="92"/>
        <v>3902.9999999999995</v>
      </c>
      <c r="L402" s="85">
        <f t="shared" si="92"/>
        <v>144</v>
      </c>
      <c r="M402" s="84">
        <f t="shared" si="92"/>
        <v>21689586.439999998</v>
      </c>
      <c r="N402" s="84">
        <f t="shared" si="92"/>
        <v>0</v>
      </c>
      <c r="O402" s="84">
        <f t="shared" si="92"/>
        <v>0</v>
      </c>
      <c r="P402" s="84">
        <f t="shared" si="92"/>
        <v>0</v>
      </c>
      <c r="Q402" s="84">
        <f t="shared" si="92"/>
        <v>21689586.439999998</v>
      </c>
      <c r="R402" s="84">
        <f t="shared" si="92"/>
        <v>21689586.439999998</v>
      </c>
      <c r="S402" s="84">
        <f t="shared" si="92"/>
        <v>0</v>
      </c>
      <c r="T402" s="24" t="s">
        <v>39</v>
      </c>
      <c r="U402" s="24" t="s">
        <v>39</v>
      </c>
      <c r="V402" s="20" t="s">
        <v>39</v>
      </c>
      <c r="W402" s="23"/>
      <c r="X402" s="23"/>
      <c r="Y402" s="23"/>
      <c r="Z402" s="23"/>
      <c r="AA402" s="23"/>
      <c r="AB402" s="23"/>
      <c r="AC402" s="23"/>
      <c r="AD402" s="23"/>
      <c r="AE402" s="23"/>
      <c r="AF402" s="23"/>
      <c r="AG402" s="23"/>
      <c r="AH402" s="23"/>
      <c r="AI402" s="23"/>
      <c r="AJ402" s="23"/>
      <c r="AK402" s="23"/>
      <c r="AL402" s="23"/>
      <c r="AM402" s="23"/>
      <c r="AN402" s="23"/>
      <c r="AO402" s="23"/>
      <c r="AP402" s="23"/>
      <c r="AQ402" s="23"/>
      <c r="AR402" s="23"/>
      <c r="AS402" s="23"/>
      <c r="AT402" s="23"/>
      <c r="AU402" s="23"/>
      <c r="AV402" s="23"/>
      <c r="AW402" s="23"/>
      <c r="AX402" s="23"/>
      <c r="AY402" s="23"/>
      <c r="AZ402" s="23"/>
      <c r="BA402" s="23"/>
      <c r="BB402" s="23"/>
      <c r="BC402" s="23"/>
      <c r="BD402" s="23"/>
      <c r="BE402" s="23"/>
      <c r="BF402" s="23"/>
      <c r="BG402" s="23"/>
      <c r="BH402" s="23"/>
      <c r="BI402" s="23"/>
      <c r="BJ402" s="23"/>
      <c r="BK402" s="23"/>
      <c r="BL402" s="23"/>
      <c r="BM402" s="23"/>
      <c r="BN402" s="23"/>
      <c r="BO402" s="23"/>
      <c r="BP402" s="23"/>
      <c r="BQ402" s="23"/>
      <c r="BR402" s="23"/>
      <c r="BS402" s="23"/>
      <c r="BT402" s="23"/>
      <c r="BU402" s="23"/>
      <c r="BV402" s="23"/>
      <c r="BW402" s="23"/>
      <c r="BX402" s="23"/>
      <c r="BY402" s="23"/>
      <c r="BZ402" s="23"/>
      <c r="CA402" s="23"/>
      <c r="CB402" s="23"/>
      <c r="CC402" s="23"/>
      <c r="CD402" s="23"/>
      <c r="CE402" s="23"/>
      <c r="CF402" s="23"/>
      <c r="CG402" s="23"/>
      <c r="CH402" s="23"/>
      <c r="CI402" s="23"/>
      <c r="CJ402" s="23"/>
      <c r="CK402" s="23"/>
      <c r="CL402" s="23"/>
      <c r="CM402" s="23"/>
      <c r="CN402" s="23"/>
      <c r="CO402" s="23"/>
      <c r="CP402" s="23"/>
      <c r="CQ402" s="23"/>
      <c r="CR402" s="23"/>
    </row>
    <row r="403" spans="1:96" s="40" customFormat="1" ht="45" x14ac:dyDescent="0.25">
      <c r="A403" s="25">
        <v>1</v>
      </c>
      <c r="B403" s="38" t="s">
        <v>499</v>
      </c>
      <c r="C403" s="25" t="s">
        <v>43</v>
      </c>
      <c r="D403" s="25">
        <v>1960</v>
      </c>
      <c r="E403" s="27">
        <v>2019</v>
      </c>
      <c r="F403" s="25" t="s">
        <v>77</v>
      </c>
      <c r="G403" s="28">
        <v>2</v>
      </c>
      <c r="H403" s="28">
        <v>2</v>
      </c>
      <c r="I403" s="29">
        <v>683.6</v>
      </c>
      <c r="J403" s="29">
        <v>630.6</v>
      </c>
      <c r="K403" s="29">
        <v>585.9</v>
      </c>
      <c r="L403" s="30">
        <v>21</v>
      </c>
      <c r="M403" s="29">
        <f t="shared" ref="M403:M406" si="93">SUM(N403:Q403)</f>
        <v>200803.34</v>
      </c>
      <c r="N403" s="29">
        <v>0</v>
      </c>
      <c r="O403" s="29">
        <v>0</v>
      </c>
      <c r="P403" s="29">
        <v>0</v>
      </c>
      <c r="Q403" s="29">
        <f>'Таблица 3 '!C393</f>
        <v>200803.34</v>
      </c>
      <c r="R403" s="29">
        <f t="shared" ref="R403:R406" si="94">Q403</f>
        <v>200803.34</v>
      </c>
      <c r="S403" s="29">
        <v>0</v>
      </c>
      <c r="T403" s="29">
        <f t="shared" si="69"/>
        <v>318.43219156359021</v>
      </c>
      <c r="U403" s="29">
        <f t="shared" si="70"/>
        <v>318.43219156359021</v>
      </c>
      <c r="V403" s="33" t="s">
        <v>45</v>
      </c>
    </row>
    <row r="404" spans="1:96" s="40" customFormat="1" ht="45" x14ac:dyDescent="0.25">
      <c r="A404" s="25">
        <v>2</v>
      </c>
      <c r="B404" s="38" t="s">
        <v>500</v>
      </c>
      <c r="C404" s="25" t="s">
        <v>43</v>
      </c>
      <c r="D404" s="25">
        <v>1993</v>
      </c>
      <c r="E404" s="27" t="s">
        <v>40</v>
      </c>
      <c r="F404" s="25" t="s">
        <v>77</v>
      </c>
      <c r="G404" s="28">
        <v>3</v>
      </c>
      <c r="H404" s="28">
        <v>3</v>
      </c>
      <c r="I404" s="29">
        <v>1250.3</v>
      </c>
      <c r="J404" s="29">
        <v>1107.7</v>
      </c>
      <c r="K404" s="29">
        <v>1107.7</v>
      </c>
      <c r="L404" s="30">
        <v>37</v>
      </c>
      <c r="M404" s="29">
        <f t="shared" si="93"/>
        <v>7224280.8099999996</v>
      </c>
      <c r="N404" s="29">
        <v>0</v>
      </c>
      <c r="O404" s="29">
        <v>0</v>
      </c>
      <c r="P404" s="29">
        <v>0</v>
      </c>
      <c r="Q404" s="29">
        <f>'Таблица 3 '!C394</f>
        <v>7224280.8099999996</v>
      </c>
      <c r="R404" s="29">
        <f t="shared" si="94"/>
        <v>7224280.8099999996</v>
      </c>
      <c r="S404" s="29">
        <v>0</v>
      </c>
      <c r="T404" s="29">
        <f t="shared" si="69"/>
        <v>6521.8748848966325</v>
      </c>
      <c r="U404" s="29">
        <f t="shared" si="70"/>
        <v>6521.8748848966325</v>
      </c>
      <c r="V404" s="33" t="s">
        <v>45</v>
      </c>
    </row>
    <row r="405" spans="1:96" s="40" customFormat="1" ht="45" x14ac:dyDescent="0.25">
      <c r="A405" s="25">
        <v>3</v>
      </c>
      <c r="B405" s="38" t="s">
        <v>501</v>
      </c>
      <c r="C405" s="25" t="s">
        <v>43</v>
      </c>
      <c r="D405" s="25" t="s">
        <v>163</v>
      </c>
      <c r="E405" s="27" t="s">
        <v>40</v>
      </c>
      <c r="F405" s="25" t="s">
        <v>77</v>
      </c>
      <c r="G405" s="28">
        <v>2</v>
      </c>
      <c r="H405" s="28">
        <v>2</v>
      </c>
      <c r="I405" s="29">
        <v>692.4</v>
      </c>
      <c r="J405" s="29">
        <v>641.29999999999995</v>
      </c>
      <c r="K405" s="29">
        <v>641.29999999999995</v>
      </c>
      <c r="L405" s="30">
        <v>32</v>
      </c>
      <c r="M405" s="29">
        <f t="shared" si="93"/>
        <v>4574639.09</v>
      </c>
      <c r="N405" s="29">
        <v>0</v>
      </c>
      <c r="O405" s="29">
        <v>0</v>
      </c>
      <c r="P405" s="29">
        <v>0</v>
      </c>
      <c r="Q405" s="29">
        <f>'Таблица 3 '!C395</f>
        <v>4574639.09</v>
      </c>
      <c r="R405" s="29">
        <f t="shared" si="94"/>
        <v>4574639.09</v>
      </c>
      <c r="S405" s="29">
        <v>0</v>
      </c>
      <c r="T405" s="29">
        <f t="shared" ref="T405:T468" si="95">M405/J405</f>
        <v>7133.3838920941844</v>
      </c>
      <c r="U405" s="29">
        <f t="shared" ref="U405:U468" si="96">T405</f>
        <v>7133.3838920941844</v>
      </c>
      <c r="V405" s="33" t="s">
        <v>45</v>
      </c>
      <c r="W405" s="44"/>
      <c r="X405" s="44"/>
      <c r="Y405" s="44"/>
      <c r="Z405" s="44"/>
      <c r="AA405" s="44"/>
      <c r="AB405" s="44"/>
      <c r="AC405" s="44"/>
      <c r="AD405" s="44"/>
      <c r="AE405" s="44"/>
      <c r="AF405" s="44"/>
      <c r="AG405" s="44"/>
      <c r="AH405" s="44"/>
      <c r="AI405" s="44"/>
      <c r="AJ405" s="44"/>
      <c r="AK405" s="44"/>
      <c r="AL405" s="44"/>
      <c r="AM405" s="44"/>
      <c r="AN405" s="44"/>
      <c r="AO405" s="44"/>
      <c r="AP405" s="44"/>
      <c r="AQ405" s="44"/>
      <c r="AR405" s="44"/>
      <c r="AS405" s="44"/>
      <c r="AT405" s="44"/>
      <c r="AU405" s="44"/>
      <c r="AV405" s="44"/>
      <c r="AW405" s="44"/>
      <c r="AX405" s="44"/>
      <c r="AY405" s="44"/>
      <c r="AZ405" s="44"/>
      <c r="BA405" s="44"/>
      <c r="BB405" s="44"/>
      <c r="BC405" s="44"/>
      <c r="BD405" s="44"/>
      <c r="BE405" s="44"/>
      <c r="BF405" s="44"/>
      <c r="BG405" s="44"/>
      <c r="BH405" s="44"/>
      <c r="BI405" s="44"/>
      <c r="BJ405" s="44"/>
      <c r="BK405" s="44"/>
      <c r="BL405" s="44"/>
      <c r="BM405" s="44"/>
      <c r="BN405" s="44"/>
      <c r="BO405" s="44"/>
      <c r="BP405" s="44"/>
      <c r="BQ405" s="44"/>
      <c r="BR405" s="44"/>
      <c r="BS405" s="44"/>
      <c r="BT405" s="44"/>
      <c r="BU405" s="44"/>
      <c r="BV405" s="44"/>
      <c r="BW405" s="44"/>
      <c r="BX405" s="44"/>
      <c r="BY405" s="44"/>
      <c r="BZ405" s="44"/>
      <c r="CA405" s="44"/>
      <c r="CB405" s="44"/>
      <c r="CC405" s="44"/>
      <c r="CD405" s="44"/>
      <c r="CE405" s="44"/>
      <c r="CF405" s="44"/>
      <c r="CG405" s="44"/>
      <c r="CH405" s="44"/>
      <c r="CI405" s="44"/>
      <c r="CJ405" s="44"/>
      <c r="CK405" s="44"/>
      <c r="CL405" s="44"/>
      <c r="CM405" s="44"/>
      <c r="CN405" s="44"/>
      <c r="CO405" s="44"/>
      <c r="CP405" s="44"/>
      <c r="CQ405" s="44"/>
      <c r="CR405" s="44"/>
    </row>
    <row r="406" spans="1:96" s="40" customFormat="1" ht="45" x14ac:dyDescent="0.25">
      <c r="A406" s="25">
        <v>4</v>
      </c>
      <c r="B406" s="38" t="s">
        <v>502</v>
      </c>
      <c r="C406" s="25" t="s">
        <v>43</v>
      </c>
      <c r="D406" s="25">
        <v>1993</v>
      </c>
      <c r="E406" s="27" t="s">
        <v>40</v>
      </c>
      <c r="F406" s="25" t="s">
        <v>77</v>
      </c>
      <c r="G406" s="28">
        <v>3</v>
      </c>
      <c r="H406" s="28">
        <v>3</v>
      </c>
      <c r="I406" s="29">
        <v>1692.5</v>
      </c>
      <c r="J406" s="29">
        <v>1568.1</v>
      </c>
      <c r="K406" s="29">
        <v>1568.1</v>
      </c>
      <c r="L406" s="30">
        <v>54</v>
      </c>
      <c r="M406" s="29">
        <f t="shared" si="93"/>
        <v>9689863.1999999993</v>
      </c>
      <c r="N406" s="29">
        <v>0</v>
      </c>
      <c r="O406" s="29">
        <v>0</v>
      </c>
      <c r="P406" s="29">
        <v>0</v>
      </c>
      <c r="Q406" s="29">
        <f>'Таблица 3 '!C396</f>
        <v>9689863.1999999993</v>
      </c>
      <c r="R406" s="29">
        <f t="shared" si="94"/>
        <v>9689863.1999999993</v>
      </c>
      <c r="S406" s="29">
        <v>0</v>
      </c>
      <c r="T406" s="29">
        <f t="shared" si="95"/>
        <v>6179.3656016835657</v>
      </c>
      <c r="U406" s="29">
        <f t="shared" si="96"/>
        <v>6179.3656016835657</v>
      </c>
      <c r="V406" s="33" t="s">
        <v>45</v>
      </c>
    </row>
    <row r="407" spans="1:96" s="44" customFormat="1" ht="29.25" customHeight="1" x14ac:dyDescent="0.25">
      <c r="A407" s="322" t="s">
        <v>503</v>
      </c>
      <c r="B407" s="322"/>
      <c r="C407" s="18" t="s">
        <v>39</v>
      </c>
      <c r="D407" s="18" t="s">
        <v>39</v>
      </c>
      <c r="E407" s="19" t="s">
        <v>39</v>
      </c>
      <c r="F407" s="18" t="s">
        <v>39</v>
      </c>
      <c r="G407" s="20" t="s">
        <v>39</v>
      </c>
      <c r="H407" s="20" t="s">
        <v>39</v>
      </c>
      <c r="I407" s="21">
        <f t="shared" ref="I407:S407" si="97">SUM(I408:I418)</f>
        <v>31911.3</v>
      </c>
      <c r="J407" s="21">
        <f t="shared" si="97"/>
        <v>25161.7</v>
      </c>
      <c r="K407" s="21">
        <f t="shared" si="97"/>
        <v>22091.200000000004</v>
      </c>
      <c r="L407" s="22">
        <f t="shared" si="97"/>
        <v>847</v>
      </c>
      <c r="M407" s="21">
        <f t="shared" si="97"/>
        <v>54513546.969999991</v>
      </c>
      <c r="N407" s="21">
        <f t="shared" si="97"/>
        <v>0</v>
      </c>
      <c r="O407" s="21">
        <f t="shared" si="97"/>
        <v>0</v>
      </c>
      <c r="P407" s="21">
        <f t="shared" si="97"/>
        <v>0</v>
      </c>
      <c r="Q407" s="21">
        <f t="shared" si="97"/>
        <v>54513546.969999991</v>
      </c>
      <c r="R407" s="21">
        <f t="shared" si="97"/>
        <v>54513546.969999991</v>
      </c>
      <c r="S407" s="21">
        <f t="shared" si="97"/>
        <v>0</v>
      </c>
      <c r="T407" s="24" t="s">
        <v>40</v>
      </c>
      <c r="U407" s="24" t="s">
        <v>40</v>
      </c>
      <c r="V407" s="20" t="s">
        <v>40</v>
      </c>
    </row>
    <row r="408" spans="1:96" s="44" customFormat="1" ht="45" x14ac:dyDescent="0.25">
      <c r="A408" s="25">
        <v>1</v>
      </c>
      <c r="B408" s="38" t="s">
        <v>504</v>
      </c>
      <c r="C408" s="25" t="s">
        <v>43</v>
      </c>
      <c r="D408" s="25">
        <v>1982</v>
      </c>
      <c r="E408" s="27" t="s">
        <v>39</v>
      </c>
      <c r="F408" s="25" t="s">
        <v>48</v>
      </c>
      <c r="G408" s="28">
        <v>5</v>
      </c>
      <c r="H408" s="28">
        <v>5</v>
      </c>
      <c r="I408" s="29">
        <v>4092.7</v>
      </c>
      <c r="J408" s="29">
        <v>3660.1</v>
      </c>
      <c r="K408" s="29">
        <v>3291.7</v>
      </c>
      <c r="L408" s="30">
        <v>178</v>
      </c>
      <c r="M408" s="29">
        <f t="shared" ref="M408:M418" si="98">SUM(N408:Q408)</f>
        <v>11570718.109999999</v>
      </c>
      <c r="N408" s="29">
        <v>0</v>
      </c>
      <c r="O408" s="29">
        <v>0</v>
      </c>
      <c r="P408" s="29">
        <v>0</v>
      </c>
      <c r="Q408" s="29">
        <f>'Таблица 3 '!C398</f>
        <v>11570718.109999999</v>
      </c>
      <c r="R408" s="29">
        <f t="shared" ref="R408:R418" si="99">Q408</f>
        <v>11570718.109999999</v>
      </c>
      <c r="S408" s="29">
        <v>0</v>
      </c>
      <c r="T408" s="29">
        <f t="shared" si="95"/>
        <v>3161.3120160651347</v>
      </c>
      <c r="U408" s="29">
        <f t="shared" si="96"/>
        <v>3161.3120160651347</v>
      </c>
      <c r="V408" s="33" t="s">
        <v>45</v>
      </c>
    </row>
    <row r="409" spans="1:96" s="44" customFormat="1" ht="45" x14ac:dyDescent="0.25">
      <c r="A409" s="25">
        <v>2</v>
      </c>
      <c r="B409" s="38" t="s">
        <v>505</v>
      </c>
      <c r="C409" s="25" t="s">
        <v>43</v>
      </c>
      <c r="D409" s="25">
        <v>1986</v>
      </c>
      <c r="E409" s="27">
        <v>2018</v>
      </c>
      <c r="F409" s="25" t="s">
        <v>48</v>
      </c>
      <c r="G409" s="28">
        <v>5</v>
      </c>
      <c r="H409" s="28">
        <v>5</v>
      </c>
      <c r="I409" s="29">
        <v>4126.8</v>
      </c>
      <c r="J409" s="29">
        <v>3687.4</v>
      </c>
      <c r="K409" s="29">
        <v>3236.5</v>
      </c>
      <c r="L409" s="30">
        <v>110</v>
      </c>
      <c r="M409" s="29">
        <f t="shared" si="98"/>
        <v>10086729.859999999</v>
      </c>
      <c r="N409" s="29">
        <v>0</v>
      </c>
      <c r="O409" s="29">
        <v>0</v>
      </c>
      <c r="P409" s="29">
        <v>0</v>
      </c>
      <c r="Q409" s="29">
        <f>'Таблица 3 '!C399</f>
        <v>10086729.859999999</v>
      </c>
      <c r="R409" s="29">
        <f t="shared" si="99"/>
        <v>10086729.859999999</v>
      </c>
      <c r="S409" s="29">
        <v>0</v>
      </c>
      <c r="T409" s="29">
        <f t="shared" si="95"/>
        <v>2735.458550740359</v>
      </c>
      <c r="U409" s="29">
        <f t="shared" si="96"/>
        <v>2735.458550740359</v>
      </c>
      <c r="V409" s="33" t="s">
        <v>45</v>
      </c>
    </row>
    <row r="410" spans="1:96" s="44" customFormat="1" ht="45" x14ac:dyDescent="0.25">
      <c r="A410" s="25">
        <v>3</v>
      </c>
      <c r="B410" s="38" t="s">
        <v>506</v>
      </c>
      <c r="C410" s="25" t="s">
        <v>43</v>
      </c>
      <c r="D410" s="25">
        <v>1972</v>
      </c>
      <c r="E410" s="27">
        <v>2023</v>
      </c>
      <c r="F410" s="25" t="s">
        <v>48</v>
      </c>
      <c r="G410" s="28">
        <v>5</v>
      </c>
      <c r="H410" s="28">
        <v>4</v>
      </c>
      <c r="I410" s="29">
        <v>3867.5</v>
      </c>
      <c r="J410" s="29">
        <v>3867.5</v>
      </c>
      <c r="K410" s="29">
        <v>3474.9</v>
      </c>
      <c r="L410" s="30">
        <v>100</v>
      </c>
      <c r="M410" s="29">
        <f t="shared" si="98"/>
        <v>7887942.04</v>
      </c>
      <c r="N410" s="29">
        <v>0</v>
      </c>
      <c r="O410" s="29">
        <v>0</v>
      </c>
      <c r="P410" s="29">
        <v>0</v>
      </c>
      <c r="Q410" s="29">
        <f>'Таблица 3 '!C400</f>
        <v>7887942.04</v>
      </c>
      <c r="R410" s="29">
        <f t="shared" si="99"/>
        <v>7887942.04</v>
      </c>
      <c r="S410" s="29">
        <v>0</v>
      </c>
      <c r="T410" s="29">
        <f t="shared" si="95"/>
        <v>2039.5454531351002</v>
      </c>
      <c r="U410" s="29">
        <f t="shared" si="96"/>
        <v>2039.5454531351002</v>
      </c>
      <c r="V410" s="33" t="s">
        <v>45</v>
      </c>
    </row>
    <row r="411" spans="1:96" s="44" customFormat="1" ht="45" x14ac:dyDescent="0.25">
      <c r="A411" s="25">
        <v>4</v>
      </c>
      <c r="B411" s="38" t="s">
        <v>507</v>
      </c>
      <c r="C411" s="25" t="s">
        <v>43</v>
      </c>
      <c r="D411" s="25">
        <v>1992</v>
      </c>
      <c r="E411" s="27" t="s">
        <v>39</v>
      </c>
      <c r="F411" s="25" t="s">
        <v>48</v>
      </c>
      <c r="G411" s="28">
        <v>5</v>
      </c>
      <c r="H411" s="28">
        <v>4</v>
      </c>
      <c r="I411" s="29">
        <v>4184.1000000000004</v>
      </c>
      <c r="J411" s="29">
        <v>3028.1</v>
      </c>
      <c r="K411" s="29">
        <v>2722.1</v>
      </c>
      <c r="L411" s="30">
        <v>112</v>
      </c>
      <c r="M411" s="29">
        <f t="shared" si="98"/>
        <v>15968597.07</v>
      </c>
      <c r="N411" s="29">
        <v>0</v>
      </c>
      <c r="O411" s="29">
        <v>0</v>
      </c>
      <c r="P411" s="29">
        <v>0</v>
      </c>
      <c r="Q411" s="29">
        <f>'Таблица 3 '!C401</f>
        <v>15968597.07</v>
      </c>
      <c r="R411" s="29">
        <f t="shared" si="99"/>
        <v>15968597.07</v>
      </c>
      <c r="S411" s="29">
        <v>0</v>
      </c>
      <c r="T411" s="29">
        <f t="shared" si="95"/>
        <v>5273.4708464053365</v>
      </c>
      <c r="U411" s="29">
        <f t="shared" si="96"/>
        <v>5273.4708464053365</v>
      </c>
      <c r="V411" s="33" t="s">
        <v>45</v>
      </c>
    </row>
    <row r="412" spans="1:96" s="44" customFormat="1" ht="45" x14ac:dyDescent="0.25">
      <c r="A412" s="25">
        <v>5</v>
      </c>
      <c r="B412" s="37" t="s">
        <v>508</v>
      </c>
      <c r="C412" s="25" t="s">
        <v>43</v>
      </c>
      <c r="D412" s="25">
        <v>1984</v>
      </c>
      <c r="E412" s="27" t="s">
        <v>39</v>
      </c>
      <c r="F412" s="25" t="s">
        <v>48</v>
      </c>
      <c r="G412" s="28">
        <v>5</v>
      </c>
      <c r="H412" s="28">
        <v>5</v>
      </c>
      <c r="I412" s="32">
        <v>3641</v>
      </c>
      <c r="J412" s="32">
        <v>3604.8</v>
      </c>
      <c r="K412" s="32">
        <v>3553.9</v>
      </c>
      <c r="L412" s="35">
        <v>138</v>
      </c>
      <c r="M412" s="29">
        <f t="shared" si="98"/>
        <v>280159.23</v>
      </c>
      <c r="N412" s="29">
        <v>0</v>
      </c>
      <c r="O412" s="29">
        <v>0</v>
      </c>
      <c r="P412" s="29">
        <v>0</v>
      </c>
      <c r="Q412" s="29">
        <f>'Таблица 3 '!C402</f>
        <v>280159.23</v>
      </c>
      <c r="R412" s="29">
        <f t="shared" si="99"/>
        <v>280159.23</v>
      </c>
      <c r="S412" s="75">
        <v>0</v>
      </c>
      <c r="T412" s="29">
        <f t="shared" si="95"/>
        <v>77.718383821571223</v>
      </c>
      <c r="U412" s="29">
        <f t="shared" si="96"/>
        <v>77.718383821571223</v>
      </c>
      <c r="V412" s="33" t="s">
        <v>45</v>
      </c>
    </row>
    <row r="413" spans="1:96" s="44" customFormat="1" ht="45" x14ac:dyDescent="0.25">
      <c r="A413" s="25">
        <v>6</v>
      </c>
      <c r="B413" s="38" t="s">
        <v>509</v>
      </c>
      <c r="C413" s="94" t="s">
        <v>43</v>
      </c>
      <c r="D413" s="25">
        <v>1984</v>
      </c>
      <c r="E413" s="27">
        <v>2022</v>
      </c>
      <c r="F413" s="25" t="s">
        <v>44</v>
      </c>
      <c r="G413" s="28">
        <v>2</v>
      </c>
      <c r="H413" s="28">
        <v>3</v>
      </c>
      <c r="I413" s="29">
        <v>1587.4</v>
      </c>
      <c r="J413" s="29">
        <v>861.1</v>
      </c>
      <c r="K413" s="29">
        <v>771.6</v>
      </c>
      <c r="L413" s="30">
        <v>18</v>
      </c>
      <c r="M413" s="29">
        <f t="shared" si="98"/>
        <v>961175.74</v>
      </c>
      <c r="N413" s="29">
        <v>0</v>
      </c>
      <c r="O413" s="29">
        <v>0</v>
      </c>
      <c r="P413" s="29">
        <v>0</v>
      </c>
      <c r="Q413" s="29">
        <f>'Таблица 3 '!C403</f>
        <v>961175.74</v>
      </c>
      <c r="R413" s="29">
        <f t="shared" si="99"/>
        <v>961175.74</v>
      </c>
      <c r="S413" s="42">
        <v>0</v>
      </c>
      <c r="T413" s="29">
        <f t="shared" si="95"/>
        <v>1116.21848798049</v>
      </c>
      <c r="U413" s="29">
        <f t="shared" si="96"/>
        <v>1116.21848798049</v>
      </c>
      <c r="V413" s="33" t="s">
        <v>45</v>
      </c>
    </row>
    <row r="414" spans="1:96" s="44" customFormat="1" ht="45" x14ac:dyDescent="0.25">
      <c r="A414" s="25">
        <v>7</v>
      </c>
      <c r="B414" s="38" t="s">
        <v>510</v>
      </c>
      <c r="C414" s="94" t="s">
        <v>43</v>
      </c>
      <c r="D414" s="25">
        <v>1971</v>
      </c>
      <c r="E414" s="27">
        <v>2021</v>
      </c>
      <c r="F414" s="25" t="s">
        <v>44</v>
      </c>
      <c r="G414" s="28">
        <v>2</v>
      </c>
      <c r="H414" s="28">
        <v>2</v>
      </c>
      <c r="I414" s="29">
        <v>1200.9000000000001</v>
      </c>
      <c r="J414" s="29">
        <v>321.60000000000002</v>
      </c>
      <c r="K414" s="29">
        <v>256.60000000000002</v>
      </c>
      <c r="L414" s="30">
        <v>18</v>
      </c>
      <c r="M414" s="29">
        <f t="shared" si="98"/>
        <v>171777.79</v>
      </c>
      <c r="N414" s="29">
        <v>0</v>
      </c>
      <c r="O414" s="29">
        <v>0</v>
      </c>
      <c r="P414" s="29">
        <v>0</v>
      </c>
      <c r="Q414" s="29">
        <f>'Таблица 3 '!C404</f>
        <v>171777.79</v>
      </c>
      <c r="R414" s="29">
        <f t="shared" si="99"/>
        <v>171777.79</v>
      </c>
      <c r="S414" s="42">
        <v>0</v>
      </c>
      <c r="T414" s="29">
        <f t="shared" si="95"/>
        <v>534.1349191542289</v>
      </c>
      <c r="U414" s="29">
        <f t="shared" si="96"/>
        <v>534.1349191542289</v>
      </c>
      <c r="V414" s="33" t="s">
        <v>45</v>
      </c>
    </row>
    <row r="415" spans="1:96" s="44" customFormat="1" ht="45" x14ac:dyDescent="0.25">
      <c r="A415" s="25">
        <v>8</v>
      </c>
      <c r="B415" s="38" t="s">
        <v>511</v>
      </c>
      <c r="C415" s="94" t="s">
        <v>43</v>
      </c>
      <c r="D415" s="25">
        <v>1970</v>
      </c>
      <c r="E415" s="27">
        <v>2023</v>
      </c>
      <c r="F415" s="25" t="s">
        <v>48</v>
      </c>
      <c r="G415" s="28">
        <v>5</v>
      </c>
      <c r="H415" s="28">
        <v>4</v>
      </c>
      <c r="I415" s="29">
        <v>4312.3</v>
      </c>
      <c r="J415" s="29">
        <v>3441.9</v>
      </c>
      <c r="K415" s="29">
        <v>2469.9</v>
      </c>
      <c r="L415" s="30">
        <v>75</v>
      </c>
      <c r="M415" s="29">
        <f t="shared" si="98"/>
        <v>2717269.37</v>
      </c>
      <c r="N415" s="29">
        <v>0</v>
      </c>
      <c r="O415" s="29">
        <v>0</v>
      </c>
      <c r="P415" s="29">
        <v>0</v>
      </c>
      <c r="Q415" s="29">
        <f>'Таблица 3 '!C405</f>
        <v>2717269.37</v>
      </c>
      <c r="R415" s="29">
        <f t="shared" si="99"/>
        <v>2717269.37</v>
      </c>
      <c r="S415" s="29">
        <v>0</v>
      </c>
      <c r="T415" s="29">
        <v>2085</v>
      </c>
      <c r="U415" s="29">
        <v>2085</v>
      </c>
      <c r="V415" s="33" t="s">
        <v>45</v>
      </c>
    </row>
    <row r="416" spans="1:96" s="44" customFormat="1" ht="45" x14ac:dyDescent="0.25">
      <c r="A416" s="25">
        <v>9</v>
      </c>
      <c r="B416" s="38" t="s">
        <v>512</v>
      </c>
      <c r="C416" s="25" t="s">
        <v>43</v>
      </c>
      <c r="D416" s="25">
        <v>1980</v>
      </c>
      <c r="E416" s="27">
        <v>2025</v>
      </c>
      <c r="F416" s="25" t="s">
        <v>44</v>
      </c>
      <c r="G416" s="28">
        <v>2</v>
      </c>
      <c r="H416" s="28">
        <v>3</v>
      </c>
      <c r="I416" s="29">
        <v>3959</v>
      </c>
      <c r="J416" s="29">
        <v>1802.4</v>
      </c>
      <c r="K416" s="29">
        <v>1802.4</v>
      </c>
      <c r="L416" s="30">
        <v>51</v>
      </c>
      <c r="M416" s="29">
        <f t="shared" si="98"/>
        <v>2309685.83</v>
      </c>
      <c r="N416" s="29">
        <v>0</v>
      </c>
      <c r="O416" s="29">
        <v>0</v>
      </c>
      <c r="P416" s="29">
        <v>0</v>
      </c>
      <c r="Q416" s="29">
        <f>'Таблица 3 '!C406</f>
        <v>2309685.83</v>
      </c>
      <c r="R416" s="29">
        <f t="shared" si="99"/>
        <v>2309685.83</v>
      </c>
      <c r="S416" s="42">
        <v>0</v>
      </c>
      <c r="T416" s="29">
        <f t="shared" si="95"/>
        <v>1281.4501941855303</v>
      </c>
      <c r="U416" s="29">
        <f t="shared" si="96"/>
        <v>1281.4501941855303</v>
      </c>
      <c r="V416" s="33" t="s">
        <v>45</v>
      </c>
    </row>
    <row r="417" spans="1:96" s="44" customFormat="1" ht="45" x14ac:dyDescent="0.25">
      <c r="A417" s="25">
        <v>10</v>
      </c>
      <c r="B417" s="38" t="s">
        <v>513</v>
      </c>
      <c r="C417" s="25" t="s">
        <v>43</v>
      </c>
      <c r="D417" s="25">
        <v>1969</v>
      </c>
      <c r="E417" s="27" t="s">
        <v>39</v>
      </c>
      <c r="F417" s="25" t="s">
        <v>514</v>
      </c>
      <c r="G417" s="28">
        <v>2</v>
      </c>
      <c r="H417" s="28">
        <v>2</v>
      </c>
      <c r="I417" s="32">
        <v>563</v>
      </c>
      <c r="J417" s="32">
        <v>510.2</v>
      </c>
      <c r="K417" s="32">
        <v>179.2</v>
      </c>
      <c r="L417" s="35">
        <v>31</v>
      </c>
      <c r="M417" s="29">
        <f t="shared" si="98"/>
        <v>2189196.41</v>
      </c>
      <c r="N417" s="29">
        <v>0</v>
      </c>
      <c r="O417" s="29">
        <v>0</v>
      </c>
      <c r="P417" s="29">
        <v>0</v>
      </c>
      <c r="Q417" s="29">
        <f>'Таблица 3 '!C407</f>
        <v>2189196.41</v>
      </c>
      <c r="R417" s="29">
        <f t="shared" si="99"/>
        <v>2189196.41</v>
      </c>
      <c r="S417" s="75">
        <v>0</v>
      </c>
      <c r="T417" s="29">
        <f t="shared" si="95"/>
        <v>4290.8592904743246</v>
      </c>
      <c r="U417" s="29">
        <f t="shared" si="96"/>
        <v>4290.8592904743246</v>
      </c>
      <c r="V417" s="33" t="s">
        <v>45</v>
      </c>
    </row>
    <row r="418" spans="1:96" s="44" customFormat="1" ht="45" x14ac:dyDescent="0.25">
      <c r="A418" s="25">
        <v>11</v>
      </c>
      <c r="B418" s="38" t="s">
        <v>515</v>
      </c>
      <c r="C418" s="25" t="s">
        <v>43</v>
      </c>
      <c r="D418" s="25">
        <v>1975</v>
      </c>
      <c r="E418" s="27">
        <v>2018</v>
      </c>
      <c r="F418" s="25" t="s">
        <v>44</v>
      </c>
      <c r="G418" s="28">
        <v>2</v>
      </c>
      <c r="H418" s="28">
        <v>1</v>
      </c>
      <c r="I418" s="32">
        <v>376.6</v>
      </c>
      <c r="J418" s="32">
        <v>376.6</v>
      </c>
      <c r="K418" s="32">
        <v>332.4</v>
      </c>
      <c r="L418" s="35">
        <v>16</v>
      </c>
      <c r="M418" s="29">
        <f t="shared" si="98"/>
        <v>370295.52</v>
      </c>
      <c r="N418" s="29">
        <v>0</v>
      </c>
      <c r="O418" s="29">
        <v>0</v>
      </c>
      <c r="P418" s="29">
        <v>0</v>
      </c>
      <c r="Q418" s="29">
        <f>'Таблица 3 '!C408</f>
        <v>370295.52</v>
      </c>
      <c r="R418" s="29">
        <f t="shared" si="99"/>
        <v>370295.52</v>
      </c>
      <c r="S418" s="75">
        <v>0</v>
      </c>
      <c r="T418" s="29">
        <f t="shared" si="95"/>
        <v>983.25947955390336</v>
      </c>
      <c r="U418" s="29">
        <f t="shared" si="96"/>
        <v>983.25947955390336</v>
      </c>
      <c r="V418" s="33" t="s">
        <v>45</v>
      </c>
    </row>
    <row r="419" spans="1:96" s="44" customFormat="1" ht="22.15" customHeight="1" x14ac:dyDescent="0.25">
      <c r="A419" s="322" t="s">
        <v>516</v>
      </c>
      <c r="B419" s="322"/>
      <c r="C419" s="78" t="s">
        <v>39</v>
      </c>
      <c r="D419" s="79" t="s">
        <v>39</v>
      </c>
      <c r="E419" s="80" t="s">
        <v>39</v>
      </c>
      <c r="F419" s="78" t="s">
        <v>39</v>
      </c>
      <c r="G419" s="81" t="s">
        <v>39</v>
      </c>
      <c r="H419" s="81" t="s">
        <v>39</v>
      </c>
      <c r="I419" s="21">
        <f t="shared" ref="I419:S419" si="100">I420+I438+I456+I460</f>
        <v>59701.660000000011</v>
      </c>
      <c r="J419" s="21">
        <f t="shared" si="100"/>
        <v>52725.93</v>
      </c>
      <c r="K419" s="21">
        <f t="shared" si="100"/>
        <v>47890.030000000006</v>
      </c>
      <c r="L419" s="22">
        <f t="shared" si="100"/>
        <v>2321</v>
      </c>
      <c r="M419" s="21">
        <f t="shared" si="100"/>
        <v>69542225.150000006</v>
      </c>
      <c r="N419" s="21">
        <f t="shared" si="100"/>
        <v>0</v>
      </c>
      <c r="O419" s="21">
        <f t="shared" si="100"/>
        <v>0</v>
      </c>
      <c r="P419" s="21">
        <f t="shared" si="100"/>
        <v>0</v>
      </c>
      <c r="Q419" s="21">
        <f t="shared" si="100"/>
        <v>69542225.150000006</v>
      </c>
      <c r="R419" s="21">
        <f t="shared" si="100"/>
        <v>69542225.150000006</v>
      </c>
      <c r="S419" s="21">
        <f t="shared" si="100"/>
        <v>0</v>
      </c>
      <c r="T419" s="24" t="s">
        <v>39</v>
      </c>
      <c r="U419" s="24" t="s">
        <v>39</v>
      </c>
      <c r="V419" s="20" t="s">
        <v>39</v>
      </c>
      <c r="W419" s="23"/>
      <c r="X419" s="23"/>
      <c r="Y419" s="23"/>
      <c r="Z419" s="23"/>
      <c r="AA419" s="23"/>
      <c r="AB419" s="23"/>
      <c r="AC419" s="23"/>
      <c r="AD419" s="23"/>
      <c r="AE419" s="23"/>
      <c r="AF419" s="23"/>
      <c r="AG419" s="23"/>
      <c r="AH419" s="23"/>
      <c r="AI419" s="23"/>
      <c r="AJ419" s="23"/>
      <c r="AK419" s="23"/>
      <c r="AL419" s="23"/>
      <c r="AM419" s="23"/>
      <c r="AN419" s="23"/>
      <c r="AO419" s="23"/>
      <c r="AP419" s="23"/>
      <c r="AQ419" s="23"/>
      <c r="AR419" s="23"/>
      <c r="AS419" s="23"/>
      <c r="AT419" s="23"/>
      <c r="AU419" s="23"/>
      <c r="AV419" s="23"/>
      <c r="AW419" s="23"/>
      <c r="AX419" s="23"/>
      <c r="AY419" s="23"/>
      <c r="AZ419" s="23"/>
      <c r="BA419" s="23"/>
      <c r="BB419" s="23"/>
      <c r="BC419" s="23"/>
      <c r="BD419" s="23"/>
      <c r="BE419" s="23"/>
      <c r="BF419" s="23"/>
      <c r="BG419" s="23"/>
      <c r="BH419" s="23"/>
      <c r="BI419" s="23"/>
      <c r="BJ419" s="23"/>
      <c r="BK419" s="23"/>
      <c r="BL419" s="23"/>
      <c r="BM419" s="23"/>
      <c r="BN419" s="23"/>
      <c r="BO419" s="23"/>
      <c r="BP419" s="23"/>
      <c r="BQ419" s="23"/>
      <c r="BR419" s="23"/>
      <c r="BS419" s="23"/>
      <c r="BT419" s="23"/>
      <c r="BU419" s="23"/>
      <c r="BV419" s="23"/>
      <c r="BW419" s="23"/>
      <c r="BX419" s="23"/>
      <c r="BY419" s="23"/>
      <c r="BZ419" s="23"/>
      <c r="CA419" s="23"/>
      <c r="CB419" s="23"/>
      <c r="CC419" s="23"/>
      <c r="CD419" s="23"/>
      <c r="CE419" s="23"/>
      <c r="CF419" s="23"/>
      <c r="CG419" s="23"/>
      <c r="CH419" s="23"/>
      <c r="CI419" s="23"/>
      <c r="CJ419" s="23"/>
      <c r="CK419" s="23"/>
      <c r="CL419" s="23"/>
      <c r="CM419" s="23"/>
      <c r="CN419" s="23"/>
      <c r="CO419" s="23"/>
      <c r="CP419" s="23"/>
      <c r="CQ419" s="23"/>
      <c r="CR419" s="95"/>
    </row>
    <row r="420" spans="1:96" s="44" customFormat="1" ht="24.75" customHeight="1" x14ac:dyDescent="0.25">
      <c r="A420" s="322" t="s">
        <v>517</v>
      </c>
      <c r="B420" s="322"/>
      <c r="C420" s="78" t="s">
        <v>39</v>
      </c>
      <c r="D420" s="79" t="s">
        <v>39</v>
      </c>
      <c r="E420" s="80" t="s">
        <v>39</v>
      </c>
      <c r="F420" s="78" t="s">
        <v>39</v>
      </c>
      <c r="G420" s="81" t="s">
        <v>39</v>
      </c>
      <c r="H420" s="81" t="s">
        <v>39</v>
      </c>
      <c r="I420" s="21">
        <f t="shared" ref="I420:S420" si="101">SUM(I421:I437)</f>
        <v>32944.700000000004</v>
      </c>
      <c r="J420" s="21">
        <f t="shared" si="101"/>
        <v>28886.6</v>
      </c>
      <c r="K420" s="21">
        <f t="shared" si="101"/>
        <v>25892.2</v>
      </c>
      <c r="L420" s="22">
        <f t="shared" si="101"/>
        <v>1289</v>
      </c>
      <c r="M420" s="21">
        <f t="shared" si="101"/>
        <v>21333310.550000004</v>
      </c>
      <c r="N420" s="21">
        <f t="shared" si="101"/>
        <v>0</v>
      </c>
      <c r="O420" s="21">
        <f t="shared" si="101"/>
        <v>0</v>
      </c>
      <c r="P420" s="21">
        <f t="shared" si="101"/>
        <v>0</v>
      </c>
      <c r="Q420" s="21">
        <f t="shared" si="101"/>
        <v>21333310.550000004</v>
      </c>
      <c r="R420" s="21">
        <f t="shared" si="101"/>
        <v>21333310.550000004</v>
      </c>
      <c r="S420" s="21">
        <f t="shared" si="101"/>
        <v>0</v>
      </c>
      <c r="T420" s="24" t="s">
        <v>39</v>
      </c>
      <c r="U420" s="24" t="s">
        <v>39</v>
      </c>
      <c r="V420" s="20" t="s">
        <v>39</v>
      </c>
      <c r="W420" s="23"/>
      <c r="X420" s="23"/>
      <c r="Y420" s="23"/>
      <c r="Z420" s="23"/>
      <c r="AA420" s="23"/>
      <c r="AB420" s="23"/>
      <c r="AC420" s="23"/>
      <c r="AD420" s="23"/>
      <c r="AE420" s="23"/>
      <c r="AF420" s="23"/>
      <c r="AG420" s="23"/>
      <c r="AH420" s="23"/>
      <c r="AI420" s="23"/>
      <c r="AJ420" s="23"/>
      <c r="AK420" s="23"/>
      <c r="AL420" s="23"/>
      <c r="AM420" s="23"/>
      <c r="AN420" s="23"/>
      <c r="AO420" s="23"/>
      <c r="AP420" s="23"/>
      <c r="AQ420" s="23"/>
      <c r="AR420" s="23"/>
      <c r="AS420" s="23"/>
      <c r="AT420" s="23"/>
      <c r="AU420" s="23"/>
      <c r="AV420" s="23"/>
      <c r="AW420" s="23"/>
      <c r="AX420" s="23"/>
      <c r="AY420" s="23"/>
      <c r="AZ420" s="23"/>
      <c r="BA420" s="23"/>
      <c r="BB420" s="23"/>
      <c r="BC420" s="23"/>
      <c r="BD420" s="23"/>
      <c r="BE420" s="23"/>
      <c r="BF420" s="23"/>
      <c r="BG420" s="23"/>
      <c r="BH420" s="23"/>
      <c r="BI420" s="23"/>
      <c r="BJ420" s="23"/>
      <c r="BK420" s="23"/>
      <c r="BL420" s="23"/>
      <c r="BM420" s="23"/>
      <c r="BN420" s="23"/>
      <c r="BO420" s="23"/>
      <c r="BP420" s="23"/>
      <c r="BQ420" s="23"/>
      <c r="BR420" s="23"/>
      <c r="BS420" s="23"/>
      <c r="BT420" s="23"/>
      <c r="BU420" s="23"/>
      <c r="BV420" s="23"/>
      <c r="BW420" s="23"/>
      <c r="BX420" s="23"/>
      <c r="BY420" s="23"/>
      <c r="BZ420" s="23"/>
      <c r="CA420" s="23"/>
      <c r="CB420" s="23"/>
      <c r="CC420" s="23"/>
      <c r="CD420" s="23"/>
      <c r="CE420" s="23"/>
      <c r="CF420" s="23"/>
      <c r="CG420" s="23"/>
      <c r="CH420" s="23"/>
      <c r="CI420" s="23"/>
      <c r="CJ420" s="23"/>
      <c r="CK420" s="23"/>
      <c r="CL420" s="23"/>
      <c r="CM420" s="23"/>
      <c r="CN420" s="23"/>
      <c r="CO420" s="23"/>
      <c r="CP420" s="23"/>
      <c r="CQ420" s="23"/>
      <c r="CR420" s="95"/>
    </row>
    <row r="421" spans="1:96" s="44" customFormat="1" ht="47.25" customHeight="1" x14ac:dyDescent="0.25">
      <c r="A421" s="25">
        <v>1</v>
      </c>
      <c r="B421" s="26" t="s">
        <v>518</v>
      </c>
      <c r="C421" s="25" t="s">
        <v>43</v>
      </c>
      <c r="D421" s="96">
        <v>1988</v>
      </c>
      <c r="E421" s="96" t="s">
        <v>39</v>
      </c>
      <c r="F421" s="25" t="s">
        <v>77</v>
      </c>
      <c r="G421" s="97">
        <v>2</v>
      </c>
      <c r="H421" s="97">
        <v>3</v>
      </c>
      <c r="I421" s="32">
        <v>1050</v>
      </c>
      <c r="J421" s="32">
        <v>953.2</v>
      </c>
      <c r="K421" s="32">
        <v>686.3</v>
      </c>
      <c r="L421" s="35">
        <v>30</v>
      </c>
      <c r="M421" s="31">
        <f t="shared" ref="M421:M462" si="102">SUM(N421:Q421)</f>
        <v>559408.80000000005</v>
      </c>
      <c r="N421" s="29">
        <v>0</v>
      </c>
      <c r="O421" s="29">
        <v>0</v>
      </c>
      <c r="P421" s="29">
        <v>0</v>
      </c>
      <c r="Q421" s="29">
        <f>'Таблица 3 '!C411</f>
        <v>559408.80000000005</v>
      </c>
      <c r="R421" s="29">
        <f t="shared" ref="R421:R462" si="103">Q421</f>
        <v>559408.80000000005</v>
      </c>
      <c r="S421" s="29">
        <v>0</v>
      </c>
      <c r="T421" s="32">
        <f t="shared" si="95"/>
        <v>586.87452790600082</v>
      </c>
      <c r="U421" s="83">
        <f t="shared" si="96"/>
        <v>586.87452790600082</v>
      </c>
      <c r="V421" s="33" t="s">
        <v>45</v>
      </c>
    </row>
    <row r="422" spans="1:96" s="40" customFormat="1" ht="45" customHeight="1" x14ac:dyDescent="0.25">
      <c r="A422" s="25">
        <v>2</v>
      </c>
      <c r="B422" s="26" t="s">
        <v>519</v>
      </c>
      <c r="C422" s="25" t="s">
        <v>43</v>
      </c>
      <c r="D422" s="27" t="s">
        <v>104</v>
      </c>
      <c r="E422" s="27" t="s">
        <v>47</v>
      </c>
      <c r="F422" s="25" t="s">
        <v>77</v>
      </c>
      <c r="G422" s="28" t="s">
        <v>420</v>
      </c>
      <c r="H422" s="28" t="s">
        <v>461</v>
      </c>
      <c r="I422" s="29">
        <v>1062</v>
      </c>
      <c r="J422" s="29">
        <v>969.6</v>
      </c>
      <c r="K422" s="29">
        <v>923.1</v>
      </c>
      <c r="L422" s="30">
        <v>34</v>
      </c>
      <c r="M422" s="31">
        <f t="shared" si="102"/>
        <v>3062383.06</v>
      </c>
      <c r="N422" s="29">
        <v>0</v>
      </c>
      <c r="O422" s="29">
        <v>0</v>
      </c>
      <c r="P422" s="29">
        <v>0</v>
      </c>
      <c r="Q422" s="29">
        <f>'Таблица 3 '!C412</f>
        <v>3062383.06</v>
      </c>
      <c r="R422" s="29">
        <f t="shared" si="103"/>
        <v>3062383.06</v>
      </c>
      <c r="S422" s="29">
        <v>0</v>
      </c>
      <c r="T422" s="32">
        <f t="shared" si="95"/>
        <v>3158.3983704620464</v>
      </c>
      <c r="U422" s="83">
        <f t="shared" si="96"/>
        <v>3158.3983704620464</v>
      </c>
      <c r="V422" s="33" t="s">
        <v>45</v>
      </c>
    </row>
    <row r="423" spans="1:96" s="40" customFormat="1" ht="45" customHeight="1" x14ac:dyDescent="0.25">
      <c r="A423" s="25">
        <v>3</v>
      </c>
      <c r="B423" s="26" t="s">
        <v>520</v>
      </c>
      <c r="C423" s="25" t="s">
        <v>43</v>
      </c>
      <c r="D423" s="25">
        <v>1989</v>
      </c>
      <c r="E423" s="27" t="s">
        <v>39</v>
      </c>
      <c r="F423" s="25" t="s">
        <v>77</v>
      </c>
      <c r="G423" s="28">
        <v>2</v>
      </c>
      <c r="H423" s="28">
        <v>3</v>
      </c>
      <c r="I423" s="42">
        <v>1052</v>
      </c>
      <c r="J423" s="42">
        <v>999</v>
      </c>
      <c r="K423" s="42">
        <v>918</v>
      </c>
      <c r="L423" s="43">
        <v>31</v>
      </c>
      <c r="M423" s="31">
        <f t="shared" si="102"/>
        <v>546133.19999999995</v>
      </c>
      <c r="N423" s="29">
        <v>0</v>
      </c>
      <c r="O423" s="29">
        <v>0</v>
      </c>
      <c r="P423" s="29">
        <v>0</v>
      </c>
      <c r="Q423" s="29">
        <f>'Таблица 3 '!C413</f>
        <v>546133.19999999995</v>
      </c>
      <c r="R423" s="29">
        <f t="shared" si="103"/>
        <v>546133.19999999995</v>
      </c>
      <c r="S423" s="29">
        <v>0</v>
      </c>
      <c r="T423" s="32">
        <f t="shared" si="95"/>
        <v>546.67987987987988</v>
      </c>
      <c r="U423" s="83">
        <f t="shared" si="96"/>
        <v>546.67987987987988</v>
      </c>
      <c r="V423" s="33" t="s">
        <v>45</v>
      </c>
    </row>
    <row r="424" spans="1:96" s="40" customFormat="1" ht="45" customHeight="1" x14ac:dyDescent="0.25">
      <c r="A424" s="25">
        <v>4</v>
      </c>
      <c r="B424" s="26" t="s">
        <v>521</v>
      </c>
      <c r="C424" s="25" t="s">
        <v>43</v>
      </c>
      <c r="D424" s="27" t="s">
        <v>522</v>
      </c>
      <c r="E424" s="27" t="s">
        <v>140</v>
      </c>
      <c r="F424" s="25" t="s">
        <v>77</v>
      </c>
      <c r="G424" s="28" t="s">
        <v>420</v>
      </c>
      <c r="H424" s="28">
        <v>3</v>
      </c>
      <c r="I424" s="29">
        <v>826</v>
      </c>
      <c r="J424" s="29">
        <v>777</v>
      </c>
      <c r="K424" s="29">
        <v>777</v>
      </c>
      <c r="L424" s="30">
        <v>30</v>
      </c>
      <c r="M424" s="31">
        <f t="shared" si="102"/>
        <v>697489.2</v>
      </c>
      <c r="N424" s="29">
        <v>0</v>
      </c>
      <c r="O424" s="29">
        <v>0</v>
      </c>
      <c r="P424" s="29">
        <v>0</v>
      </c>
      <c r="Q424" s="29">
        <f>'Таблица 3 '!C414</f>
        <v>697489.2</v>
      </c>
      <c r="R424" s="29">
        <f t="shared" si="103"/>
        <v>697489.2</v>
      </c>
      <c r="S424" s="29">
        <v>0</v>
      </c>
      <c r="T424" s="32">
        <f t="shared" si="95"/>
        <v>897.66949806949799</v>
      </c>
      <c r="U424" s="83">
        <f t="shared" si="96"/>
        <v>897.66949806949799</v>
      </c>
      <c r="V424" s="33" t="s">
        <v>45</v>
      </c>
    </row>
    <row r="425" spans="1:96" s="40" customFormat="1" ht="45" customHeight="1" x14ac:dyDescent="0.25">
      <c r="A425" s="25">
        <v>5</v>
      </c>
      <c r="B425" s="26" t="s">
        <v>523</v>
      </c>
      <c r="C425" s="25" t="s">
        <v>43</v>
      </c>
      <c r="D425" s="25">
        <v>1972</v>
      </c>
      <c r="E425" s="27">
        <v>2024</v>
      </c>
      <c r="F425" s="25" t="s">
        <v>77</v>
      </c>
      <c r="G425" s="28">
        <v>2</v>
      </c>
      <c r="H425" s="28">
        <v>2</v>
      </c>
      <c r="I425" s="32">
        <v>823.1</v>
      </c>
      <c r="J425" s="32">
        <v>722.1</v>
      </c>
      <c r="K425" s="32">
        <v>722.1</v>
      </c>
      <c r="L425" s="35">
        <v>30</v>
      </c>
      <c r="M425" s="31">
        <f t="shared" si="102"/>
        <v>726124.11</v>
      </c>
      <c r="N425" s="29">
        <v>0</v>
      </c>
      <c r="O425" s="29">
        <v>0</v>
      </c>
      <c r="P425" s="29">
        <v>0</v>
      </c>
      <c r="Q425" s="29">
        <f>'Таблица 3 '!C415</f>
        <v>726124.11</v>
      </c>
      <c r="R425" s="29">
        <f t="shared" si="103"/>
        <v>726124.11</v>
      </c>
      <c r="S425" s="29">
        <v>0</v>
      </c>
      <c r="T425" s="32">
        <f t="shared" si="95"/>
        <v>1005.5727877025342</v>
      </c>
      <c r="U425" s="83">
        <f t="shared" si="96"/>
        <v>1005.5727877025342</v>
      </c>
      <c r="V425" s="33" t="s">
        <v>45</v>
      </c>
    </row>
    <row r="426" spans="1:96" s="40" customFormat="1" ht="45" customHeight="1" x14ac:dyDescent="0.25">
      <c r="A426" s="25">
        <v>6</v>
      </c>
      <c r="B426" s="26" t="s">
        <v>524</v>
      </c>
      <c r="C426" s="25" t="s">
        <v>43</v>
      </c>
      <c r="D426" s="27" t="s">
        <v>106</v>
      </c>
      <c r="E426" s="27" t="s">
        <v>39</v>
      </c>
      <c r="F426" s="25" t="s">
        <v>77</v>
      </c>
      <c r="G426" s="28" t="s">
        <v>414</v>
      </c>
      <c r="H426" s="28" t="s">
        <v>415</v>
      </c>
      <c r="I426" s="29">
        <v>3329</v>
      </c>
      <c r="J426" s="29">
        <v>3102.1</v>
      </c>
      <c r="K426" s="29">
        <v>2770.5</v>
      </c>
      <c r="L426" s="30">
        <v>105</v>
      </c>
      <c r="M426" s="31">
        <f t="shared" si="102"/>
        <v>3348018.99</v>
      </c>
      <c r="N426" s="29">
        <v>0</v>
      </c>
      <c r="O426" s="29">
        <v>0</v>
      </c>
      <c r="P426" s="29">
        <v>0</v>
      </c>
      <c r="Q426" s="29">
        <f>'Таблица 3 '!C416</f>
        <v>3348018.99</v>
      </c>
      <c r="R426" s="29">
        <f t="shared" si="103"/>
        <v>3348018.99</v>
      </c>
      <c r="S426" s="29">
        <v>0</v>
      </c>
      <c r="T426" s="32">
        <f t="shared" si="95"/>
        <v>1079.2750040295284</v>
      </c>
      <c r="U426" s="83">
        <f t="shared" si="96"/>
        <v>1079.2750040295284</v>
      </c>
      <c r="V426" s="33" t="s">
        <v>45</v>
      </c>
    </row>
    <row r="427" spans="1:96" s="40" customFormat="1" ht="45" customHeight="1" x14ac:dyDescent="0.25">
      <c r="A427" s="25">
        <v>7</v>
      </c>
      <c r="B427" s="26" t="s">
        <v>525</v>
      </c>
      <c r="C427" s="25" t="s">
        <v>43</v>
      </c>
      <c r="D427" s="27" t="s">
        <v>526</v>
      </c>
      <c r="E427" s="27" t="s">
        <v>39</v>
      </c>
      <c r="F427" s="25" t="s">
        <v>77</v>
      </c>
      <c r="G427" s="28">
        <v>5</v>
      </c>
      <c r="H427" s="28">
        <v>4</v>
      </c>
      <c r="I427" s="29">
        <v>3575</v>
      </c>
      <c r="J427" s="29">
        <v>2652</v>
      </c>
      <c r="K427" s="29">
        <v>2652</v>
      </c>
      <c r="L427" s="30">
        <v>135</v>
      </c>
      <c r="M427" s="31">
        <f t="shared" si="102"/>
        <v>1124231.67</v>
      </c>
      <c r="N427" s="29">
        <v>0</v>
      </c>
      <c r="O427" s="29">
        <v>0</v>
      </c>
      <c r="P427" s="29">
        <v>0</v>
      </c>
      <c r="Q427" s="29">
        <f>'Таблица 3 '!C417</f>
        <v>1124231.67</v>
      </c>
      <c r="R427" s="29">
        <f t="shared" si="103"/>
        <v>1124231.67</v>
      </c>
      <c r="S427" s="29">
        <v>0</v>
      </c>
      <c r="T427" s="29">
        <f t="shared" si="95"/>
        <v>423.91842760180992</v>
      </c>
      <c r="U427" s="31">
        <f t="shared" si="96"/>
        <v>423.91842760180992</v>
      </c>
      <c r="V427" s="33" t="s">
        <v>45</v>
      </c>
    </row>
    <row r="428" spans="1:96" s="40" customFormat="1" ht="45" customHeight="1" x14ac:dyDescent="0.25">
      <c r="A428" s="25">
        <v>8</v>
      </c>
      <c r="B428" s="26" t="s">
        <v>527</v>
      </c>
      <c r="C428" s="25" t="s">
        <v>43</v>
      </c>
      <c r="D428" s="27" t="s">
        <v>83</v>
      </c>
      <c r="E428" s="27" t="s">
        <v>50</v>
      </c>
      <c r="F428" s="25" t="s">
        <v>77</v>
      </c>
      <c r="G428" s="28" t="s">
        <v>414</v>
      </c>
      <c r="H428" s="28" t="s">
        <v>415</v>
      </c>
      <c r="I428" s="29">
        <v>3341</v>
      </c>
      <c r="J428" s="29">
        <v>3137.8</v>
      </c>
      <c r="K428" s="29">
        <v>2817.7</v>
      </c>
      <c r="L428" s="30">
        <v>90</v>
      </c>
      <c r="M428" s="31">
        <f t="shared" si="102"/>
        <v>3050236.8</v>
      </c>
      <c r="N428" s="29">
        <v>0</v>
      </c>
      <c r="O428" s="29">
        <v>0</v>
      </c>
      <c r="P428" s="29">
        <v>0</v>
      </c>
      <c r="Q428" s="29">
        <f>'Таблица 3 '!C418</f>
        <v>3050236.8</v>
      </c>
      <c r="R428" s="29">
        <f t="shared" si="103"/>
        <v>3050236.8</v>
      </c>
      <c r="S428" s="29">
        <v>0</v>
      </c>
      <c r="T428" s="32">
        <f t="shared" si="95"/>
        <v>972.09407865383378</v>
      </c>
      <c r="U428" s="83">
        <f t="shared" si="96"/>
        <v>972.09407865383378</v>
      </c>
      <c r="V428" s="33" t="s">
        <v>45</v>
      </c>
    </row>
    <row r="429" spans="1:96" s="40" customFormat="1" ht="45" customHeight="1" x14ac:dyDescent="0.25">
      <c r="A429" s="25">
        <v>9</v>
      </c>
      <c r="B429" s="26" t="s">
        <v>528</v>
      </c>
      <c r="C429" s="25" t="s">
        <v>43</v>
      </c>
      <c r="D429" s="27" t="s">
        <v>79</v>
      </c>
      <c r="E429" s="27" t="s">
        <v>63</v>
      </c>
      <c r="F429" s="25" t="s">
        <v>77</v>
      </c>
      <c r="G429" s="28">
        <v>5</v>
      </c>
      <c r="H429" s="28">
        <v>1</v>
      </c>
      <c r="I429" s="29">
        <v>3029.9</v>
      </c>
      <c r="J429" s="29">
        <v>1915</v>
      </c>
      <c r="K429" s="29">
        <v>56</v>
      </c>
      <c r="L429" s="30">
        <v>170</v>
      </c>
      <c r="M429" s="31">
        <f t="shared" si="102"/>
        <v>1369704</v>
      </c>
      <c r="N429" s="29">
        <v>0</v>
      </c>
      <c r="O429" s="29">
        <v>0</v>
      </c>
      <c r="P429" s="29">
        <v>0</v>
      </c>
      <c r="Q429" s="29">
        <f>'Таблица 3 '!C419</f>
        <v>1369704</v>
      </c>
      <c r="R429" s="29">
        <f t="shared" si="103"/>
        <v>1369704</v>
      </c>
      <c r="S429" s="29">
        <v>0</v>
      </c>
      <c r="T429" s="32">
        <f t="shared" si="95"/>
        <v>715.25013054830288</v>
      </c>
      <c r="U429" s="83">
        <f t="shared" si="96"/>
        <v>715.25013054830288</v>
      </c>
      <c r="V429" s="33" t="s">
        <v>45</v>
      </c>
    </row>
    <row r="430" spans="1:96" s="40" customFormat="1" ht="45" customHeight="1" x14ac:dyDescent="0.25">
      <c r="A430" s="25">
        <v>10</v>
      </c>
      <c r="B430" s="26" t="s">
        <v>529</v>
      </c>
      <c r="C430" s="25" t="s">
        <v>43</v>
      </c>
      <c r="D430" s="27" t="s">
        <v>200</v>
      </c>
      <c r="E430" s="80" t="s">
        <v>40</v>
      </c>
      <c r="F430" s="25" t="s">
        <v>44</v>
      </c>
      <c r="G430" s="28">
        <v>2</v>
      </c>
      <c r="H430" s="28">
        <v>3</v>
      </c>
      <c r="I430" s="73">
        <v>625.5</v>
      </c>
      <c r="J430" s="73">
        <v>625.5</v>
      </c>
      <c r="K430" s="73">
        <v>625.5</v>
      </c>
      <c r="L430" s="73">
        <v>48</v>
      </c>
      <c r="M430" s="31">
        <f t="shared" si="102"/>
        <v>427314.80000000005</v>
      </c>
      <c r="N430" s="29">
        <v>0</v>
      </c>
      <c r="O430" s="29">
        <v>0</v>
      </c>
      <c r="P430" s="29">
        <v>0</v>
      </c>
      <c r="Q430" s="29">
        <f>'Таблица 3 '!C420</f>
        <v>427314.80000000005</v>
      </c>
      <c r="R430" s="29">
        <f t="shared" si="103"/>
        <v>427314.80000000005</v>
      </c>
      <c r="S430" s="29">
        <v>0</v>
      </c>
      <c r="T430" s="32">
        <f t="shared" si="95"/>
        <v>683.15715427657881</v>
      </c>
      <c r="U430" s="83">
        <f t="shared" si="96"/>
        <v>683.15715427657881</v>
      </c>
      <c r="V430" s="33" t="s">
        <v>45</v>
      </c>
    </row>
    <row r="431" spans="1:96" s="40" customFormat="1" ht="45" customHeight="1" x14ac:dyDescent="0.25">
      <c r="A431" s="25">
        <v>11</v>
      </c>
      <c r="B431" s="26" t="s">
        <v>530</v>
      </c>
      <c r="C431" s="25" t="s">
        <v>43</v>
      </c>
      <c r="D431" s="27" t="s">
        <v>200</v>
      </c>
      <c r="E431" s="27" t="s">
        <v>39</v>
      </c>
      <c r="F431" s="25" t="s">
        <v>77</v>
      </c>
      <c r="G431" s="28" t="s">
        <v>420</v>
      </c>
      <c r="H431" s="28" t="s">
        <v>461</v>
      </c>
      <c r="I431" s="29">
        <v>559.20000000000005</v>
      </c>
      <c r="J431" s="29">
        <v>517.70000000000005</v>
      </c>
      <c r="K431" s="29">
        <v>517.70000000000005</v>
      </c>
      <c r="L431" s="30">
        <v>15</v>
      </c>
      <c r="M431" s="31">
        <f t="shared" si="102"/>
        <v>384128.83</v>
      </c>
      <c r="N431" s="29">
        <v>0</v>
      </c>
      <c r="O431" s="29">
        <v>0</v>
      </c>
      <c r="P431" s="29">
        <v>0</v>
      </c>
      <c r="Q431" s="29">
        <f>'Таблица 3 '!C421</f>
        <v>384128.83</v>
      </c>
      <c r="R431" s="29">
        <f t="shared" si="103"/>
        <v>384128.83</v>
      </c>
      <c r="S431" s="29">
        <v>0</v>
      </c>
      <c r="T431" s="32">
        <f t="shared" si="95"/>
        <v>741.99117249372216</v>
      </c>
      <c r="U431" s="83">
        <f t="shared" si="96"/>
        <v>741.99117249372216</v>
      </c>
      <c r="V431" s="33" t="s">
        <v>45</v>
      </c>
    </row>
    <row r="432" spans="1:96" s="40" customFormat="1" ht="45" customHeight="1" x14ac:dyDescent="0.25">
      <c r="A432" s="25">
        <v>12</v>
      </c>
      <c r="B432" s="26" t="s">
        <v>531</v>
      </c>
      <c r="C432" s="25" t="s">
        <v>43</v>
      </c>
      <c r="D432" s="27" t="s">
        <v>104</v>
      </c>
      <c r="E432" s="27" t="s">
        <v>47</v>
      </c>
      <c r="F432" s="25" t="s">
        <v>77</v>
      </c>
      <c r="G432" s="28" t="s">
        <v>461</v>
      </c>
      <c r="H432" s="28" t="s">
        <v>461</v>
      </c>
      <c r="I432" s="29">
        <v>1633.9</v>
      </c>
      <c r="J432" s="29">
        <v>1503.7</v>
      </c>
      <c r="K432" s="29">
        <v>1500.2</v>
      </c>
      <c r="L432" s="30">
        <v>51</v>
      </c>
      <c r="M432" s="31">
        <f t="shared" si="102"/>
        <v>2583976.4300000002</v>
      </c>
      <c r="N432" s="29">
        <v>0</v>
      </c>
      <c r="O432" s="29">
        <v>0</v>
      </c>
      <c r="P432" s="29">
        <v>0</v>
      </c>
      <c r="Q432" s="29">
        <f>'Таблица 3 '!C422</f>
        <v>2583976.4300000002</v>
      </c>
      <c r="R432" s="29">
        <f t="shared" si="103"/>
        <v>2583976.4300000002</v>
      </c>
      <c r="S432" s="29">
        <v>0</v>
      </c>
      <c r="T432" s="29">
        <f t="shared" si="95"/>
        <v>1718.4122032320277</v>
      </c>
      <c r="U432" s="31">
        <f t="shared" si="96"/>
        <v>1718.4122032320277</v>
      </c>
      <c r="V432" s="33" t="s">
        <v>45</v>
      </c>
    </row>
    <row r="433" spans="1:96" s="40" customFormat="1" ht="45" customHeight="1" x14ac:dyDescent="0.25">
      <c r="A433" s="25">
        <v>13</v>
      </c>
      <c r="B433" s="26" t="s">
        <v>532</v>
      </c>
      <c r="C433" s="25" t="s">
        <v>43</v>
      </c>
      <c r="D433" s="27" t="s">
        <v>205</v>
      </c>
      <c r="E433" s="27" t="s">
        <v>39</v>
      </c>
      <c r="F433" s="25" t="s">
        <v>77</v>
      </c>
      <c r="G433" s="25">
        <v>5</v>
      </c>
      <c r="H433" s="25">
        <v>4</v>
      </c>
      <c r="I433" s="42">
        <v>2855.7</v>
      </c>
      <c r="J433" s="42">
        <v>2615.1</v>
      </c>
      <c r="K433" s="42">
        <v>2568.1999999999998</v>
      </c>
      <c r="L433" s="43">
        <v>74</v>
      </c>
      <c r="M433" s="31">
        <f t="shared" si="102"/>
        <v>894586.58</v>
      </c>
      <c r="N433" s="29">
        <v>0</v>
      </c>
      <c r="O433" s="29">
        <v>0</v>
      </c>
      <c r="P433" s="29">
        <v>0</v>
      </c>
      <c r="Q433" s="29">
        <f>'Таблица 3 '!C423</f>
        <v>894586.58</v>
      </c>
      <c r="R433" s="29">
        <f t="shared" si="103"/>
        <v>894586.58</v>
      </c>
      <c r="S433" s="42">
        <v>0</v>
      </c>
      <c r="T433" s="42">
        <f t="shared" si="95"/>
        <v>342.08503690107455</v>
      </c>
      <c r="U433" s="98">
        <f t="shared" si="96"/>
        <v>342.08503690107455</v>
      </c>
      <c r="V433" s="33" t="s">
        <v>45</v>
      </c>
      <c r="W433" s="99"/>
      <c r="X433" s="99"/>
      <c r="Y433" s="99"/>
      <c r="Z433" s="99"/>
      <c r="AA433" s="99"/>
      <c r="AB433" s="99"/>
      <c r="AC433" s="99"/>
      <c r="AD433" s="99"/>
      <c r="AE433" s="99"/>
      <c r="AF433" s="99"/>
      <c r="AG433" s="99"/>
      <c r="AH433" s="99"/>
      <c r="AI433" s="99"/>
      <c r="AJ433" s="99"/>
      <c r="AK433" s="99"/>
      <c r="AL433" s="99"/>
      <c r="AM433" s="99"/>
      <c r="AN433" s="99"/>
    </row>
    <row r="434" spans="1:96" s="40" customFormat="1" ht="45" customHeight="1" x14ac:dyDescent="0.25">
      <c r="A434" s="25">
        <v>14</v>
      </c>
      <c r="B434" s="26" t="s">
        <v>533</v>
      </c>
      <c r="C434" s="25" t="s">
        <v>43</v>
      </c>
      <c r="D434" s="27" t="s">
        <v>86</v>
      </c>
      <c r="E434" s="27" t="s">
        <v>39</v>
      </c>
      <c r="F434" s="25" t="s">
        <v>77</v>
      </c>
      <c r="G434" s="28">
        <v>5</v>
      </c>
      <c r="H434" s="28">
        <v>6</v>
      </c>
      <c r="I434" s="29">
        <v>4599.5</v>
      </c>
      <c r="J434" s="29">
        <v>4099.6000000000004</v>
      </c>
      <c r="K434" s="29">
        <v>4099.6000000000004</v>
      </c>
      <c r="L434" s="30">
        <v>215</v>
      </c>
      <c r="M434" s="31">
        <f t="shared" si="102"/>
        <v>1807811.36</v>
      </c>
      <c r="N434" s="29">
        <v>0</v>
      </c>
      <c r="O434" s="29">
        <v>0</v>
      </c>
      <c r="P434" s="29">
        <v>0</v>
      </c>
      <c r="Q434" s="29">
        <f>'Таблица 3 '!C424</f>
        <v>1807811.36</v>
      </c>
      <c r="R434" s="29">
        <f t="shared" si="103"/>
        <v>1807811.36</v>
      </c>
      <c r="S434" s="29">
        <v>0</v>
      </c>
      <c r="T434" s="29">
        <f t="shared" si="95"/>
        <v>440.97262171919209</v>
      </c>
      <c r="U434" s="31">
        <f t="shared" si="96"/>
        <v>440.97262171919209</v>
      </c>
      <c r="V434" s="33" t="s">
        <v>45</v>
      </c>
    </row>
    <row r="435" spans="1:96" s="40" customFormat="1" ht="45" customHeight="1" x14ac:dyDescent="0.25">
      <c r="A435" s="25">
        <v>15</v>
      </c>
      <c r="B435" s="26" t="s">
        <v>534</v>
      </c>
      <c r="C435" s="25" t="s">
        <v>43</v>
      </c>
      <c r="D435" s="27" t="s">
        <v>370</v>
      </c>
      <c r="E435" s="96" t="s">
        <v>57</v>
      </c>
      <c r="F435" s="25" t="s">
        <v>44</v>
      </c>
      <c r="G435" s="28">
        <v>5</v>
      </c>
      <c r="H435" s="28">
        <v>4</v>
      </c>
      <c r="I435" s="89">
        <v>2996</v>
      </c>
      <c r="J435" s="89">
        <v>2846</v>
      </c>
      <c r="K435" s="89">
        <v>2846</v>
      </c>
      <c r="L435" s="90">
        <v>180</v>
      </c>
      <c r="M435" s="31">
        <f t="shared" si="102"/>
        <v>299069.94</v>
      </c>
      <c r="N435" s="29">
        <v>0</v>
      </c>
      <c r="O435" s="29">
        <v>0</v>
      </c>
      <c r="P435" s="29">
        <v>0</v>
      </c>
      <c r="Q435" s="29">
        <f>'Таблица 3 '!C425</f>
        <v>299069.94</v>
      </c>
      <c r="R435" s="29">
        <f t="shared" si="103"/>
        <v>299069.94</v>
      </c>
      <c r="S435" s="29">
        <v>0</v>
      </c>
      <c r="T435" s="32">
        <f t="shared" si="95"/>
        <v>105.08430780042164</v>
      </c>
      <c r="U435" s="83">
        <f t="shared" si="96"/>
        <v>105.08430780042164</v>
      </c>
      <c r="V435" s="33" t="s">
        <v>45</v>
      </c>
    </row>
    <row r="436" spans="1:96" s="40" customFormat="1" ht="45" customHeight="1" x14ac:dyDescent="0.25">
      <c r="A436" s="25">
        <v>16</v>
      </c>
      <c r="B436" s="26" t="s">
        <v>535</v>
      </c>
      <c r="C436" s="25" t="s">
        <v>43</v>
      </c>
      <c r="D436" s="27" t="s">
        <v>106</v>
      </c>
      <c r="E436" s="27" t="s">
        <v>39</v>
      </c>
      <c r="F436" s="25" t="s">
        <v>77</v>
      </c>
      <c r="G436" s="28" t="s">
        <v>420</v>
      </c>
      <c r="H436" s="28" t="s">
        <v>420</v>
      </c>
      <c r="I436" s="29">
        <v>799.9</v>
      </c>
      <c r="J436" s="29">
        <v>722.6</v>
      </c>
      <c r="K436" s="29">
        <v>722.6</v>
      </c>
      <c r="L436" s="30">
        <v>20</v>
      </c>
      <c r="M436" s="31">
        <f t="shared" si="102"/>
        <v>226241.98</v>
      </c>
      <c r="N436" s="29">
        <v>0</v>
      </c>
      <c r="O436" s="29">
        <v>0</v>
      </c>
      <c r="P436" s="29">
        <v>0</v>
      </c>
      <c r="Q436" s="29">
        <f>'Таблица 3 '!C426</f>
        <v>226241.98</v>
      </c>
      <c r="R436" s="29">
        <f t="shared" si="103"/>
        <v>226241.98</v>
      </c>
      <c r="S436" s="29">
        <v>0</v>
      </c>
      <c r="T436" s="29">
        <f t="shared" si="95"/>
        <v>313.09435372266813</v>
      </c>
      <c r="U436" s="29">
        <f t="shared" si="96"/>
        <v>313.09435372266813</v>
      </c>
      <c r="V436" s="33" t="s">
        <v>45</v>
      </c>
    </row>
    <row r="437" spans="1:96" s="40" customFormat="1" ht="45" customHeight="1" x14ac:dyDescent="0.25">
      <c r="A437" s="25">
        <v>17</v>
      </c>
      <c r="B437" s="26" t="s">
        <v>536</v>
      </c>
      <c r="C437" s="25" t="s">
        <v>43</v>
      </c>
      <c r="D437" s="27" t="s">
        <v>106</v>
      </c>
      <c r="E437" s="27" t="s">
        <v>39</v>
      </c>
      <c r="F437" s="25" t="s">
        <v>77</v>
      </c>
      <c r="G437" s="28">
        <v>2</v>
      </c>
      <c r="H437" s="28">
        <v>2</v>
      </c>
      <c r="I437" s="29">
        <v>787</v>
      </c>
      <c r="J437" s="29">
        <v>728.6</v>
      </c>
      <c r="K437" s="29">
        <v>689.7</v>
      </c>
      <c r="L437" s="30">
        <v>31</v>
      </c>
      <c r="M437" s="31">
        <f t="shared" si="102"/>
        <v>226450.8</v>
      </c>
      <c r="N437" s="29">
        <v>0</v>
      </c>
      <c r="O437" s="29">
        <v>0</v>
      </c>
      <c r="P437" s="29">
        <v>0</v>
      </c>
      <c r="Q437" s="29">
        <f>'Таблица 3 '!C427</f>
        <v>226450.8</v>
      </c>
      <c r="R437" s="29">
        <f t="shared" si="103"/>
        <v>226450.8</v>
      </c>
      <c r="S437" s="29">
        <v>0</v>
      </c>
      <c r="T437" s="32">
        <f t="shared" si="95"/>
        <v>310.80263519077681</v>
      </c>
      <c r="U437" s="83">
        <f t="shared" si="96"/>
        <v>310.80263519077681</v>
      </c>
      <c r="V437" s="33" t="s">
        <v>45</v>
      </c>
    </row>
    <row r="438" spans="1:96" s="44" customFormat="1" ht="24.75" customHeight="1" x14ac:dyDescent="0.25">
      <c r="A438" s="322" t="s">
        <v>537</v>
      </c>
      <c r="B438" s="322"/>
      <c r="C438" s="78" t="s">
        <v>39</v>
      </c>
      <c r="D438" s="79" t="s">
        <v>39</v>
      </c>
      <c r="E438" s="80" t="s">
        <v>39</v>
      </c>
      <c r="F438" s="78" t="s">
        <v>39</v>
      </c>
      <c r="G438" s="81" t="s">
        <v>39</v>
      </c>
      <c r="H438" s="81" t="s">
        <v>39</v>
      </c>
      <c r="I438" s="21">
        <f t="shared" ref="I438:S438" si="104">SUM(I439:I455)</f>
        <v>23170.7</v>
      </c>
      <c r="J438" s="21">
        <f t="shared" si="104"/>
        <v>21208.92</v>
      </c>
      <c r="K438" s="21">
        <f t="shared" si="104"/>
        <v>19401.32</v>
      </c>
      <c r="L438" s="22">
        <f t="shared" si="104"/>
        <v>905</v>
      </c>
      <c r="M438" s="21">
        <f t="shared" si="104"/>
        <v>39254210.200000003</v>
      </c>
      <c r="N438" s="21">
        <f t="shared" si="104"/>
        <v>0</v>
      </c>
      <c r="O438" s="21">
        <f t="shared" si="104"/>
        <v>0</v>
      </c>
      <c r="P438" s="21">
        <f t="shared" si="104"/>
        <v>0</v>
      </c>
      <c r="Q438" s="21">
        <f t="shared" si="104"/>
        <v>39254210.200000003</v>
      </c>
      <c r="R438" s="21">
        <f t="shared" si="104"/>
        <v>39254210.200000003</v>
      </c>
      <c r="S438" s="21">
        <f t="shared" si="104"/>
        <v>0</v>
      </c>
      <c r="T438" s="24" t="s">
        <v>39</v>
      </c>
      <c r="U438" s="24" t="s">
        <v>39</v>
      </c>
      <c r="V438" s="20" t="s">
        <v>39</v>
      </c>
      <c r="W438" s="23"/>
      <c r="X438" s="23"/>
      <c r="Y438" s="23"/>
      <c r="Z438" s="23"/>
      <c r="AA438" s="23"/>
      <c r="AB438" s="23"/>
      <c r="AC438" s="23"/>
      <c r="AD438" s="23"/>
      <c r="AE438" s="23"/>
      <c r="AF438" s="23"/>
      <c r="AG438" s="23"/>
      <c r="AH438" s="23"/>
      <c r="AI438" s="23"/>
      <c r="AJ438" s="23"/>
      <c r="AK438" s="23"/>
      <c r="AL438" s="23"/>
      <c r="AM438" s="23"/>
      <c r="AN438" s="23"/>
      <c r="AO438" s="23"/>
      <c r="AP438" s="23"/>
      <c r="AQ438" s="23"/>
      <c r="AR438" s="23"/>
      <c r="AS438" s="23"/>
      <c r="AT438" s="23"/>
      <c r="AU438" s="23"/>
      <c r="AV438" s="23"/>
      <c r="AW438" s="23"/>
      <c r="AX438" s="23"/>
      <c r="AY438" s="23"/>
      <c r="AZ438" s="23"/>
      <c r="BA438" s="23"/>
      <c r="BB438" s="23"/>
      <c r="BC438" s="23"/>
      <c r="BD438" s="23"/>
      <c r="BE438" s="23"/>
      <c r="BF438" s="23"/>
      <c r="BG438" s="23"/>
      <c r="BH438" s="23"/>
      <c r="BI438" s="23"/>
      <c r="BJ438" s="23"/>
      <c r="BK438" s="23"/>
      <c r="BL438" s="23"/>
      <c r="BM438" s="23"/>
      <c r="BN438" s="23"/>
      <c r="BO438" s="23"/>
      <c r="BP438" s="23"/>
      <c r="BQ438" s="23"/>
      <c r="BR438" s="23"/>
      <c r="BS438" s="23"/>
      <c r="BT438" s="23"/>
      <c r="BU438" s="23"/>
      <c r="BV438" s="23"/>
      <c r="BW438" s="23"/>
      <c r="BX438" s="23"/>
      <c r="BY438" s="23"/>
      <c r="BZ438" s="23"/>
      <c r="CA438" s="23"/>
      <c r="CB438" s="23"/>
      <c r="CC438" s="23"/>
      <c r="CD438" s="23"/>
      <c r="CE438" s="23"/>
      <c r="CF438" s="23"/>
      <c r="CG438" s="23"/>
      <c r="CH438" s="23"/>
      <c r="CI438" s="23"/>
      <c r="CJ438" s="23"/>
      <c r="CK438" s="23"/>
      <c r="CL438" s="23"/>
      <c r="CM438" s="23"/>
      <c r="CN438" s="23"/>
      <c r="CO438" s="23"/>
      <c r="CP438" s="23"/>
      <c r="CQ438" s="23"/>
      <c r="CR438" s="95"/>
    </row>
    <row r="439" spans="1:96" s="44" customFormat="1" ht="45" customHeight="1" x14ac:dyDescent="0.25">
      <c r="A439" s="25">
        <v>1</v>
      </c>
      <c r="B439" s="26" t="s">
        <v>538</v>
      </c>
      <c r="C439" s="25" t="s">
        <v>43</v>
      </c>
      <c r="D439" s="27" t="s">
        <v>147</v>
      </c>
      <c r="E439" s="27" t="s">
        <v>39</v>
      </c>
      <c r="F439" s="25" t="s">
        <v>77</v>
      </c>
      <c r="G439" s="28" t="s">
        <v>414</v>
      </c>
      <c r="H439" s="28">
        <v>6</v>
      </c>
      <c r="I439" s="29">
        <v>5020</v>
      </c>
      <c r="J439" s="29">
        <v>4660</v>
      </c>
      <c r="K439" s="29">
        <f>J439-355.5</f>
        <v>4304.5</v>
      </c>
      <c r="L439" s="30">
        <v>196</v>
      </c>
      <c r="M439" s="31">
        <f t="shared" ref="M439:M455" si="105">SUM(N439:Q439)</f>
        <v>319381.69</v>
      </c>
      <c r="N439" s="29">
        <v>0</v>
      </c>
      <c r="O439" s="29">
        <v>0</v>
      </c>
      <c r="P439" s="29">
        <v>0</v>
      </c>
      <c r="Q439" s="29">
        <f>'Таблица 3 '!C429</f>
        <v>319381.69</v>
      </c>
      <c r="R439" s="29">
        <f t="shared" ref="R439:R455" si="106">Q439</f>
        <v>319381.69</v>
      </c>
      <c r="S439" s="29">
        <v>0</v>
      </c>
      <c r="T439" s="29">
        <f t="shared" si="95"/>
        <v>68.53684334763949</v>
      </c>
      <c r="U439" s="31">
        <f t="shared" si="96"/>
        <v>68.53684334763949</v>
      </c>
      <c r="V439" s="33" t="s">
        <v>45</v>
      </c>
      <c r="W439" s="40"/>
      <c r="X439" s="23"/>
      <c r="Y439" s="23"/>
      <c r="Z439" s="23"/>
      <c r="AA439" s="23"/>
      <c r="AB439" s="23"/>
      <c r="AC439" s="23"/>
      <c r="AD439" s="23"/>
      <c r="AE439" s="23"/>
      <c r="AF439" s="23"/>
      <c r="AG439" s="23"/>
      <c r="AH439" s="23"/>
      <c r="AI439" s="23"/>
      <c r="AJ439" s="23"/>
      <c r="AK439" s="23"/>
      <c r="AL439" s="23"/>
      <c r="AM439" s="23"/>
      <c r="AN439" s="23"/>
      <c r="AO439" s="23"/>
      <c r="AP439" s="23"/>
      <c r="AQ439" s="23"/>
      <c r="AR439" s="23"/>
      <c r="AS439" s="23"/>
      <c r="AT439" s="23"/>
      <c r="AU439" s="23"/>
      <c r="AV439" s="23"/>
      <c r="AW439" s="23"/>
      <c r="AX439" s="23"/>
      <c r="AY439" s="23"/>
      <c r="AZ439" s="23"/>
      <c r="BA439" s="23"/>
      <c r="BB439" s="23"/>
      <c r="BC439" s="23"/>
      <c r="BD439" s="23"/>
      <c r="BE439" s="23"/>
      <c r="BF439" s="23"/>
      <c r="BG439" s="23"/>
      <c r="BH439" s="23"/>
      <c r="BI439" s="23"/>
      <c r="BJ439" s="23"/>
      <c r="BK439" s="23"/>
      <c r="BL439" s="23"/>
      <c r="BM439" s="23"/>
      <c r="BN439" s="23"/>
      <c r="BO439" s="23"/>
      <c r="BP439" s="23"/>
      <c r="BQ439" s="23"/>
      <c r="BR439" s="23"/>
      <c r="BS439" s="23"/>
      <c r="BT439" s="23"/>
      <c r="BU439" s="23"/>
      <c r="BV439" s="23"/>
      <c r="BW439" s="23"/>
      <c r="BX439" s="23"/>
      <c r="BY439" s="23"/>
      <c r="BZ439" s="23"/>
      <c r="CA439" s="23"/>
      <c r="CB439" s="23"/>
      <c r="CC439" s="23"/>
      <c r="CD439" s="23"/>
      <c r="CE439" s="23"/>
      <c r="CF439" s="23"/>
      <c r="CG439" s="23"/>
      <c r="CH439" s="23"/>
      <c r="CI439" s="23"/>
      <c r="CJ439" s="23"/>
      <c r="CK439" s="23"/>
      <c r="CL439" s="23"/>
      <c r="CM439" s="23"/>
      <c r="CN439" s="23"/>
      <c r="CO439" s="23"/>
      <c r="CP439" s="23"/>
      <c r="CQ439" s="23"/>
      <c r="CR439" s="23"/>
    </row>
    <row r="440" spans="1:96" s="44" customFormat="1" ht="44.25" customHeight="1" x14ac:dyDescent="0.25">
      <c r="A440" s="25">
        <v>2</v>
      </c>
      <c r="B440" s="26" t="s">
        <v>539</v>
      </c>
      <c r="C440" s="25" t="s">
        <v>43</v>
      </c>
      <c r="D440" s="27">
        <v>1965</v>
      </c>
      <c r="E440" s="27" t="s">
        <v>155</v>
      </c>
      <c r="F440" s="25" t="s">
        <v>77</v>
      </c>
      <c r="G440" s="28" t="s">
        <v>415</v>
      </c>
      <c r="H440" s="28" t="s">
        <v>461</v>
      </c>
      <c r="I440" s="32">
        <v>2106.4</v>
      </c>
      <c r="J440" s="32">
        <v>1957.8</v>
      </c>
      <c r="K440" s="32">
        <v>1873.3</v>
      </c>
      <c r="L440" s="35">
        <v>79</v>
      </c>
      <c r="M440" s="31">
        <f t="shared" si="105"/>
        <v>7227724.3499999996</v>
      </c>
      <c r="N440" s="29">
        <v>0</v>
      </c>
      <c r="O440" s="29">
        <v>0</v>
      </c>
      <c r="P440" s="29">
        <v>0</v>
      </c>
      <c r="Q440" s="29">
        <f>'Таблица 3 '!C430</f>
        <v>7227724.3499999996</v>
      </c>
      <c r="R440" s="29">
        <f t="shared" si="106"/>
        <v>7227724.3499999996</v>
      </c>
      <c r="S440" s="29">
        <v>0</v>
      </c>
      <c r="T440" s="32">
        <f t="shared" si="95"/>
        <v>3691.7582745939317</v>
      </c>
      <c r="U440" s="83">
        <f t="shared" si="96"/>
        <v>3691.7582745939317</v>
      </c>
      <c r="V440" s="33" t="s">
        <v>45</v>
      </c>
    </row>
    <row r="441" spans="1:96" s="44" customFormat="1" ht="44.25" customHeight="1" x14ac:dyDescent="0.25">
      <c r="A441" s="25">
        <v>3</v>
      </c>
      <c r="B441" s="34" t="s">
        <v>540</v>
      </c>
      <c r="C441" s="25" t="s">
        <v>43</v>
      </c>
      <c r="D441" s="27" t="s">
        <v>200</v>
      </c>
      <c r="E441" s="27" t="s">
        <v>39</v>
      </c>
      <c r="F441" s="25" t="s">
        <v>77</v>
      </c>
      <c r="G441" s="28" t="s">
        <v>415</v>
      </c>
      <c r="H441" s="28" t="s">
        <v>461</v>
      </c>
      <c r="I441" s="32">
        <v>2124.4</v>
      </c>
      <c r="J441" s="32">
        <v>1974.6</v>
      </c>
      <c r="K441" s="32">
        <v>1858.4</v>
      </c>
      <c r="L441" s="35">
        <v>84</v>
      </c>
      <c r="M441" s="31">
        <f t="shared" si="105"/>
        <v>4717353.0100000007</v>
      </c>
      <c r="N441" s="29">
        <v>0</v>
      </c>
      <c r="O441" s="29">
        <v>0</v>
      </c>
      <c r="P441" s="29">
        <v>0</v>
      </c>
      <c r="Q441" s="29">
        <f>'Таблица 3 '!C431</f>
        <v>4717353.0100000007</v>
      </c>
      <c r="R441" s="29">
        <f t="shared" si="106"/>
        <v>4717353.0100000007</v>
      </c>
      <c r="S441" s="29">
        <v>0</v>
      </c>
      <c r="T441" s="32">
        <f t="shared" si="95"/>
        <v>2389.0170211688446</v>
      </c>
      <c r="U441" s="83">
        <f t="shared" si="96"/>
        <v>2389.0170211688446</v>
      </c>
      <c r="V441" s="33" t="s">
        <v>45</v>
      </c>
    </row>
    <row r="442" spans="1:96" s="44" customFormat="1" ht="44.25" customHeight="1" x14ac:dyDescent="0.25">
      <c r="A442" s="25">
        <v>4</v>
      </c>
      <c r="B442" s="26" t="s">
        <v>541</v>
      </c>
      <c r="C442" s="25" t="s">
        <v>43</v>
      </c>
      <c r="D442" s="27" t="s">
        <v>366</v>
      </c>
      <c r="E442" s="27" t="s">
        <v>39</v>
      </c>
      <c r="F442" s="25" t="s">
        <v>77</v>
      </c>
      <c r="G442" s="28" t="s">
        <v>461</v>
      </c>
      <c r="H442" s="28" t="s">
        <v>420</v>
      </c>
      <c r="I442" s="29">
        <v>1029.2</v>
      </c>
      <c r="J442" s="29">
        <v>937.8</v>
      </c>
      <c r="K442" s="29">
        <v>866.8</v>
      </c>
      <c r="L442" s="30">
        <v>50</v>
      </c>
      <c r="M442" s="31">
        <f t="shared" si="105"/>
        <v>932172.74</v>
      </c>
      <c r="N442" s="29">
        <v>0</v>
      </c>
      <c r="O442" s="29">
        <v>0</v>
      </c>
      <c r="P442" s="29">
        <v>0</v>
      </c>
      <c r="Q442" s="29">
        <f>'Таблица 3 '!C432</f>
        <v>932172.74</v>
      </c>
      <c r="R442" s="29">
        <f t="shared" si="106"/>
        <v>932172.74</v>
      </c>
      <c r="S442" s="29">
        <v>0</v>
      </c>
      <c r="T442" s="29">
        <f t="shared" si="95"/>
        <v>993.99950949029653</v>
      </c>
      <c r="U442" s="31">
        <f t="shared" si="96"/>
        <v>993.99950949029653</v>
      </c>
      <c r="V442" s="33" t="s">
        <v>45</v>
      </c>
      <c r="W442" s="40"/>
    </row>
    <row r="443" spans="1:96" s="44" customFormat="1" ht="44.25" customHeight="1" x14ac:dyDescent="0.25">
      <c r="A443" s="25">
        <v>5</v>
      </c>
      <c r="B443" s="26" t="s">
        <v>542</v>
      </c>
      <c r="C443" s="25" t="s">
        <v>43</v>
      </c>
      <c r="D443" s="27" t="s">
        <v>225</v>
      </c>
      <c r="E443" s="27" t="s">
        <v>228</v>
      </c>
      <c r="F443" s="25" t="s">
        <v>514</v>
      </c>
      <c r="G443" s="28" t="s">
        <v>420</v>
      </c>
      <c r="H443" s="28" t="s">
        <v>543</v>
      </c>
      <c r="I443" s="29">
        <v>572</v>
      </c>
      <c r="J443" s="29">
        <v>520.70000000000005</v>
      </c>
      <c r="K443" s="29">
        <v>460.6</v>
      </c>
      <c r="L443" s="30">
        <v>25</v>
      </c>
      <c r="M443" s="31">
        <f t="shared" si="105"/>
        <v>236885.4</v>
      </c>
      <c r="N443" s="29">
        <v>0</v>
      </c>
      <c r="O443" s="29">
        <v>0</v>
      </c>
      <c r="P443" s="29">
        <v>0</v>
      </c>
      <c r="Q443" s="29">
        <f>'Таблица 3 '!C433</f>
        <v>236885.4</v>
      </c>
      <c r="R443" s="29">
        <f t="shared" si="106"/>
        <v>236885.4</v>
      </c>
      <c r="S443" s="29">
        <v>0</v>
      </c>
      <c r="T443" s="29">
        <f t="shared" si="95"/>
        <v>454.93643172652196</v>
      </c>
      <c r="U443" s="31">
        <f t="shared" si="96"/>
        <v>454.93643172652196</v>
      </c>
      <c r="V443" s="33" t="s">
        <v>45</v>
      </c>
    </row>
    <row r="444" spans="1:96" s="44" customFormat="1" ht="44.25" customHeight="1" x14ac:dyDescent="0.25">
      <c r="A444" s="25">
        <v>6</v>
      </c>
      <c r="B444" s="26" t="s">
        <v>544</v>
      </c>
      <c r="C444" s="25" t="s">
        <v>43</v>
      </c>
      <c r="D444" s="27" t="s">
        <v>225</v>
      </c>
      <c r="E444" s="27" t="s">
        <v>39</v>
      </c>
      <c r="F444" s="25" t="s">
        <v>514</v>
      </c>
      <c r="G444" s="28" t="s">
        <v>420</v>
      </c>
      <c r="H444" s="28" t="s">
        <v>543</v>
      </c>
      <c r="I444" s="32">
        <v>562.20000000000005</v>
      </c>
      <c r="J444" s="32">
        <v>520.20000000000005</v>
      </c>
      <c r="K444" s="32">
        <v>520.20000000000005</v>
      </c>
      <c r="L444" s="35">
        <v>26</v>
      </c>
      <c r="M444" s="31">
        <f t="shared" si="105"/>
        <v>236885.4</v>
      </c>
      <c r="N444" s="29">
        <v>0</v>
      </c>
      <c r="O444" s="29">
        <v>0</v>
      </c>
      <c r="P444" s="29">
        <v>0</v>
      </c>
      <c r="Q444" s="29">
        <f>'Таблица 3 '!C434</f>
        <v>236885.4</v>
      </c>
      <c r="R444" s="29">
        <f t="shared" si="106"/>
        <v>236885.4</v>
      </c>
      <c r="S444" s="29">
        <v>0</v>
      </c>
      <c r="T444" s="29">
        <f t="shared" si="95"/>
        <v>455.3737024221453</v>
      </c>
      <c r="U444" s="31">
        <f t="shared" si="96"/>
        <v>455.3737024221453</v>
      </c>
      <c r="V444" s="33" t="s">
        <v>45</v>
      </c>
    </row>
    <row r="445" spans="1:96" s="44" customFormat="1" ht="44.25" customHeight="1" x14ac:dyDescent="0.25">
      <c r="A445" s="25">
        <v>7</v>
      </c>
      <c r="B445" s="26" t="s">
        <v>545</v>
      </c>
      <c r="C445" s="25" t="s">
        <v>43</v>
      </c>
      <c r="D445" s="27" t="s">
        <v>200</v>
      </c>
      <c r="E445" s="27" t="s">
        <v>39</v>
      </c>
      <c r="F445" s="25" t="s">
        <v>77</v>
      </c>
      <c r="G445" s="28" t="s">
        <v>420</v>
      </c>
      <c r="H445" s="28" t="s">
        <v>420</v>
      </c>
      <c r="I445" s="32">
        <v>521.6</v>
      </c>
      <c r="J445" s="32">
        <v>471.6</v>
      </c>
      <c r="K445" s="32">
        <v>471.6</v>
      </c>
      <c r="L445" s="35">
        <v>19</v>
      </c>
      <c r="M445" s="31">
        <f t="shared" si="105"/>
        <v>3809686.54</v>
      </c>
      <c r="N445" s="29">
        <v>0</v>
      </c>
      <c r="O445" s="29">
        <v>0</v>
      </c>
      <c r="P445" s="29">
        <v>0</v>
      </c>
      <c r="Q445" s="29">
        <f>'Таблица 3 '!C435</f>
        <v>3809686.54</v>
      </c>
      <c r="R445" s="29">
        <f t="shared" si="106"/>
        <v>3809686.54</v>
      </c>
      <c r="S445" s="29">
        <v>0</v>
      </c>
      <c r="T445" s="32">
        <f t="shared" si="95"/>
        <v>8078.2157336726032</v>
      </c>
      <c r="U445" s="83">
        <f t="shared" si="96"/>
        <v>8078.2157336726032</v>
      </c>
      <c r="V445" s="33" t="s">
        <v>45</v>
      </c>
    </row>
    <row r="446" spans="1:96" s="44" customFormat="1" ht="44.25" customHeight="1" x14ac:dyDescent="0.25">
      <c r="A446" s="25">
        <v>8</v>
      </c>
      <c r="B446" s="26" t="s">
        <v>546</v>
      </c>
      <c r="C446" s="25" t="s">
        <v>43</v>
      </c>
      <c r="D446" s="27" t="s">
        <v>132</v>
      </c>
      <c r="E446" s="27" t="s">
        <v>39</v>
      </c>
      <c r="F446" s="25" t="s">
        <v>77</v>
      </c>
      <c r="G446" s="28" t="s">
        <v>420</v>
      </c>
      <c r="H446" s="28" t="s">
        <v>420</v>
      </c>
      <c r="I446" s="29">
        <v>765.1</v>
      </c>
      <c r="J446" s="29">
        <v>714.22</v>
      </c>
      <c r="K446" s="29">
        <v>674.32</v>
      </c>
      <c r="L446" s="30">
        <v>30</v>
      </c>
      <c r="M446" s="31">
        <f t="shared" si="105"/>
        <v>682512.33</v>
      </c>
      <c r="N446" s="29">
        <v>0</v>
      </c>
      <c r="O446" s="29">
        <v>0</v>
      </c>
      <c r="P446" s="29">
        <v>0</v>
      </c>
      <c r="Q446" s="29">
        <f>'Таблица 3 '!C436</f>
        <v>682512.33</v>
      </c>
      <c r="R446" s="29">
        <f t="shared" si="106"/>
        <v>682512.33</v>
      </c>
      <c r="S446" s="29">
        <v>0</v>
      </c>
      <c r="T446" s="29">
        <f t="shared" si="95"/>
        <v>955.6051776763461</v>
      </c>
      <c r="U446" s="29">
        <f t="shared" si="96"/>
        <v>955.6051776763461</v>
      </c>
      <c r="V446" s="33" t="s">
        <v>45</v>
      </c>
    </row>
    <row r="447" spans="1:96" s="44" customFormat="1" ht="44.25" customHeight="1" x14ac:dyDescent="0.25">
      <c r="A447" s="25">
        <v>9</v>
      </c>
      <c r="B447" s="26" t="s">
        <v>547</v>
      </c>
      <c r="C447" s="25" t="s">
        <v>43</v>
      </c>
      <c r="D447" s="27" t="s">
        <v>225</v>
      </c>
      <c r="E447" s="27" t="s">
        <v>39</v>
      </c>
      <c r="F447" s="25" t="s">
        <v>514</v>
      </c>
      <c r="G447" s="28" t="s">
        <v>420</v>
      </c>
      <c r="H447" s="28" t="s">
        <v>543</v>
      </c>
      <c r="I447" s="32">
        <v>570.20000000000005</v>
      </c>
      <c r="J447" s="32">
        <v>526</v>
      </c>
      <c r="K447" s="32">
        <v>464.9</v>
      </c>
      <c r="L447" s="35">
        <v>27</v>
      </c>
      <c r="M447" s="31">
        <f t="shared" si="105"/>
        <v>1987446.8000000003</v>
      </c>
      <c r="N447" s="29">
        <v>0</v>
      </c>
      <c r="O447" s="29">
        <v>0</v>
      </c>
      <c r="P447" s="29">
        <v>0</v>
      </c>
      <c r="Q447" s="29">
        <f>'Таблица 3 '!C437</f>
        <v>1987446.8000000003</v>
      </c>
      <c r="R447" s="29">
        <f t="shared" si="106"/>
        <v>1987446.8000000003</v>
      </c>
      <c r="S447" s="29">
        <v>0</v>
      </c>
      <c r="T447" s="32">
        <f t="shared" si="95"/>
        <v>3778.4159695817498</v>
      </c>
      <c r="U447" s="83">
        <f t="shared" si="96"/>
        <v>3778.4159695817498</v>
      </c>
      <c r="V447" s="33" t="s">
        <v>45</v>
      </c>
    </row>
    <row r="448" spans="1:96" s="44" customFormat="1" ht="44.25" customHeight="1" x14ac:dyDescent="0.25">
      <c r="A448" s="25">
        <v>10</v>
      </c>
      <c r="B448" s="26" t="s">
        <v>548</v>
      </c>
      <c r="C448" s="25" t="s">
        <v>43</v>
      </c>
      <c r="D448" s="27" t="s">
        <v>109</v>
      </c>
      <c r="E448" s="27" t="s">
        <v>39</v>
      </c>
      <c r="F448" s="25" t="s">
        <v>77</v>
      </c>
      <c r="G448" s="28" t="s">
        <v>461</v>
      </c>
      <c r="H448" s="28" t="s">
        <v>461</v>
      </c>
      <c r="I448" s="32">
        <v>1615.2</v>
      </c>
      <c r="J448" s="32">
        <v>1447.6</v>
      </c>
      <c r="K448" s="32">
        <v>1447.6</v>
      </c>
      <c r="L448" s="35">
        <v>54</v>
      </c>
      <c r="M448" s="31">
        <f t="shared" si="105"/>
        <v>3816224.92</v>
      </c>
      <c r="N448" s="29">
        <v>0</v>
      </c>
      <c r="O448" s="29">
        <v>0</v>
      </c>
      <c r="P448" s="29">
        <v>0</v>
      </c>
      <c r="Q448" s="29">
        <f>'Таблица 3 '!C438</f>
        <v>3816224.92</v>
      </c>
      <c r="R448" s="29">
        <f t="shared" si="106"/>
        <v>3816224.92</v>
      </c>
      <c r="S448" s="29">
        <v>0</v>
      </c>
      <c r="T448" s="32">
        <f t="shared" si="95"/>
        <v>2636.2426913512022</v>
      </c>
      <c r="U448" s="83">
        <f t="shared" si="96"/>
        <v>2636.2426913512022</v>
      </c>
      <c r="V448" s="33" t="s">
        <v>45</v>
      </c>
      <c r="W448" s="23"/>
      <c r="X448" s="23"/>
      <c r="Y448" s="23"/>
      <c r="Z448" s="23"/>
      <c r="AA448" s="23"/>
      <c r="AB448" s="23"/>
      <c r="AC448" s="23"/>
      <c r="AD448" s="23"/>
      <c r="AE448" s="23"/>
      <c r="AF448" s="23"/>
      <c r="AG448" s="23"/>
      <c r="AH448" s="23"/>
      <c r="AI448" s="23"/>
      <c r="AJ448" s="23"/>
      <c r="AK448" s="23"/>
      <c r="AL448" s="23"/>
      <c r="AM448" s="23"/>
      <c r="AN448" s="23"/>
      <c r="AO448" s="23"/>
      <c r="AP448" s="23"/>
      <c r="AQ448" s="23"/>
      <c r="AR448" s="23"/>
      <c r="AS448" s="23"/>
      <c r="AT448" s="23"/>
      <c r="AU448" s="23"/>
      <c r="AV448" s="23"/>
      <c r="AW448" s="23"/>
      <c r="AX448" s="23"/>
      <c r="AY448" s="23"/>
      <c r="AZ448" s="23"/>
      <c r="BA448" s="23"/>
      <c r="BB448" s="23"/>
      <c r="BC448" s="23"/>
      <c r="BD448" s="23"/>
      <c r="BE448" s="23"/>
      <c r="BF448" s="23"/>
      <c r="BG448" s="23"/>
      <c r="BH448" s="23"/>
      <c r="BI448" s="23"/>
      <c r="BJ448" s="23"/>
      <c r="BK448" s="23"/>
      <c r="BL448" s="23"/>
      <c r="BM448" s="23"/>
      <c r="BN448" s="23"/>
      <c r="BO448" s="23"/>
      <c r="BP448" s="23"/>
      <c r="BQ448" s="23"/>
      <c r="BR448" s="23"/>
      <c r="BS448" s="23"/>
      <c r="BT448" s="23"/>
      <c r="BU448" s="23"/>
      <c r="BV448" s="23"/>
      <c r="BW448" s="23"/>
      <c r="BX448" s="23"/>
      <c r="BY448" s="23"/>
      <c r="BZ448" s="23"/>
      <c r="CA448" s="23"/>
      <c r="CB448" s="23"/>
      <c r="CC448" s="23"/>
      <c r="CD448" s="23"/>
      <c r="CE448" s="23"/>
      <c r="CF448" s="23"/>
      <c r="CG448" s="23"/>
      <c r="CH448" s="23"/>
      <c r="CI448" s="23"/>
      <c r="CJ448" s="23"/>
      <c r="CK448" s="23"/>
      <c r="CL448" s="23"/>
      <c r="CM448" s="23"/>
      <c r="CN448" s="23"/>
      <c r="CO448" s="23"/>
      <c r="CP448" s="23"/>
      <c r="CQ448" s="23"/>
      <c r="CR448" s="23"/>
    </row>
    <row r="449" spans="1:96" s="44" customFormat="1" ht="44.25" customHeight="1" x14ac:dyDescent="0.25">
      <c r="A449" s="25">
        <v>11</v>
      </c>
      <c r="B449" s="26" t="s">
        <v>549</v>
      </c>
      <c r="C449" s="25" t="s">
        <v>43</v>
      </c>
      <c r="D449" s="27" t="s">
        <v>195</v>
      </c>
      <c r="E449" s="27" t="s">
        <v>39</v>
      </c>
      <c r="F449" s="25" t="s">
        <v>514</v>
      </c>
      <c r="G449" s="28" t="s">
        <v>420</v>
      </c>
      <c r="H449" s="28" t="s">
        <v>543</v>
      </c>
      <c r="I449" s="29">
        <v>559.5</v>
      </c>
      <c r="J449" s="29">
        <v>514.5</v>
      </c>
      <c r="K449" s="29">
        <v>514.5</v>
      </c>
      <c r="L449" s="30">
        <v>16</v>
      </c>
      <c r="M449" s="31">
        <f t="shared" si="105"/>
        <v>1926850.98</v>
      </c>
      <c r="N449" s="29">
        <v>0</v>
      </c>
      <c r="O449" s="29">
        <v>0</v>
      </c>
      <c r="P449" s="29">
        <v>0</v>
      </c>
      <c r="Q449" s="29">
        <f>'Таблица 3 '!C439</f>
        <v>1926850.98</v>
      </c>
      <c r="R449" s="29">
        <f t="shared" si="106"/>
        <v>1926850.98</v>
      </c>
      <c r="S449" s="29">
        <v>0</v>
      </c>
      <c r="T449" s="29">
        <f t="shared" si="95"/>
        <v>3745.0942274052477</v>
      </c>
      <c r="U449" s="31">
        <f t="shared" si="96"/>
        <v>3745.0942274052477</v>
      </c>
      <c r="V449" s="33" t="s">
        <v>45</v>
      </c>
      <c r="W449" s="23"/>
      <c r="X449" s="23"/>
      <c r="Y449" s="23"/>
      <c r="Z449" s="23"/>
      <c r="AA449" s="23"/>
      <c r="AB449" s="23"/>
      <c r="AC449" s="23"/>
      <c r="AD449" s="23"/>
      <c r="AE449" s="23"/>
      <c r="AF449" s="23"/>
      <c r="AG449" s="23"/>
      <c r="AH449" s="23"/>
      <c r="AI449" s="23"/>
      <c r="AJ449" s="23"/>
      <c r="AK449" s="23"/>
      <c r="AL449" s="23"/>
      <c r="AM449" s="23"/>
      <c r="AN449" s="23"/>
      <c r="AO449" s="23"/>
      <c r="AP449" s="23"/>
      <c r="AQ449" s="23"/>
      <c r="AR449" s="23"/>
      <c r="AS449" s="23"/>
      <c r="AT449" s="23"/>
      <c r="AU449" s="23"/>
      <c r="AV449" s="23"/>
      <c r="AW449" s="23"/>
      <c r="AX449" s="23"/>
      <c r="AY449" s="23"/>
      <c r="AZ449" s="23"/>
      <c r="BA449" s="23"/>
      <c r="BB449" s="23"/>
      <c r="BC449" s="23"/>
      <c r="BD449" s="23"/>
      <c r="BE449" s="23"/>
      <c r="BF449" s="23"/>
      <c r="BG449" s="23"/>
      <c r="BH449" s="23"/>
      <c r="BI449" s="23"/>
      <c r="BJ449" s="23"/>
      <c r="BK449" s="23"/>
      <c r="BL449" s="23"/>
      <c r="BM449" s="23"/>
      <c r="BN449" s="23"/>
      <c r="BO449" s="23"/>
      <c r="BP449" s="23"/>
      <c r="BQ449" s="23"/>
      <c r="BR449" s="23"/>
      <c r="BS449" s="23"/>
      <c r="BT449" s="23"/>
      <c r="BU449" s="23"/>
      <c r="BV449" s="23"/>
      <c r="BW449" s="23"/>
      <c r="BX449" s="23"/>
      <c r="BY449" s="23"/>
      <c r="BZ449" s="23"/>
      <c r="CA449" s="23"/>
      <c r="CB449" s="23"/>
      <c r="CC449" s="23"/>
      <c r="CD449" s="23"/>
      <c r="CE449" s="23"/>
      <c r="CF449" s="23"/>
      <c r="CG449" s="23"/>
      <c r="CH449" s="23"/>
      <c r="CI449" s="23"/>
      <c r="CJ449" s="23"/>
      <c r="CK449" s="23"/>
      <c r="CL449" s="23"/>
      <c r="CM449" s="23"/>
      <c r="CN449" s="23"/>
      <c r="CO449" s="23"/>
      <c r="CP449" s="23"/>
      <c r="CQ449" s="23"/>
      <c r="CR449" s="23"/>
    </row>
    <row r="450" spans="1:96" s="44" customFormat="1" ht="44.25" customHeight="1" x14ac:dyDescent="0.25">
      <c r="A450" s="25">
        <v>12</v>
      </c>
      <c r="B450" s="26" t="s">
        <v>550</v>
      </c>
      <c r="C450" s="25" t="s">
        <v>43</v>
      </c>
      <c r="D450" s="27" t="s">
        <v>195</v>
      </c>
      <c r="E450" s="27" t="s">
        <v>39</v>
      </c>
      <c r="F450" s="25" t="s">
        <v>514</v>
      </c>
      <c r="G450" s="28" t="s">
        <v>420</v>
      </c>
      <c r="H450" s="28" t="s">
        <v>543</v>
      </c>
      <c r="I450" s="29">
        <v>560.6</v>
      </c>
      <c r="J450" s="29">
        <v>517.79999999999995</v>
      </c>
      <c r="K450" s="29">
        <v>441</v>
      </c>
      <c r="L450" s="30">
        <v>14</v>
      </c>
      <c r="M450" s="31">
        <f t="shared" si="105"/>
        <v>1926850.98</v>
      </c>
      <c r="N450" s="29">
        <v>0</v>
      </c>
      <c r="O450" s="29">
        <v>0</v>
      </c>
      <c r="P450" s="29">
        <v>0</v>
      </c>
      <c r="Q450" s="29">
        <f>'Таблица 3 '!C440</f>
        <v>1926850.98</v>
      </c>
      <c r="R450" s="29">
        <f t="shared" si="106"/>
        <v>1926850.98</v>
      </c>
      <c r="S450" s="29">
        <v>0</v>
      </c>
      <c r="T450" s="29">
        <f t="shared" si="95"/>
        <v>3721.226303592121</v>
      </c>
      <c r="U450" s="31">
        <f t="shared" si="96"/>
        <v>3721.226303592121</v>
      </c>
      <c r="V450" s="33" t="s">
        <v>45</v>
      </c>
      <c r="W450" s="23"/>
      <c r="X450" s="23"/>
      <c r="Y450" s="23"/>
      <c r="Z450" s="23"/>
      <c r="AA450" s="23"/>
      <c r="AB450" s="23"/>
      <c r="AC450" s="23"/>
      <c r="AD450" s="23"/>
      <c r="AE450" s="23"/>
      <c r="AF450" s="23"/>
      <c r="AG450" s="23"/>
      <c r="AH450" s="23"/>
      <c r="AI450" s="23"/>
      <c r="AJ450" s="23"/>
      <c r="AK450" s="23"/>
      <c r="AL450" s="23"/>
      <c r="AM450" s="23"/>
      <c r="AN450" s="23"/>
      <c r="AO450" s="23"/>
      <c r="AP450" s="23"/>
      <c r="AQ450" s="23"/>
      <c r="AR450" s="23"/>
      <c r="AS450" s="23"/>
      <c r="AT450" s="23"/>
      <c r="AU450" s="23"/>
      <c r="AV450" s="23"/>
      <c r="AW450" s="23"/>
      <c r="AX450" s="23"/>
      <c r="AY450" s="23"/>
      <c r="AZ450" s="23"/>
      <c r="BA450" s="23"/>
      <c r="BB450" s="23"/>
      <c r="BC450" s="23"/>
      <c r="BD450" s="23"/>
      <c r="BE450" s="23"/>
      <c r="BF450" s="23"/>
      <c r="BG450" s="23"/>
      <c r="BH450" s="23"/>
      <c r="BI450" s="23"/>
      <c r="BJ450" s="23"/>
      <c r="BK450" s="23"/>
      <c r="BL450" s="23"/>
      <c r="BM450" s="23"/>
      <c r="BN450" s="23"/>
      <c r="BO450" s="23"/>
      <c r="BP450" s="23"/>
      <c r="BQ450" s="23"/>
      <c r="BR450" s="23"/>
      <c r="BS450" s="23"/>
      <c r="BT450" s="23"/>
      <c r="BU450" s="23"/>
      <c r="BV450" s="23"/>
      <c r="BW450" s="23"/>
      <c r="BX450" s="23"/>
      <c r="BY450" s="23"/>
      <c r="BZ450" s="23"/>
      <c r="CA450" s="23"/>
      <c r="CB450" s="23"/>
      <c r="CC450" s="23"/>
      <c r="CD450" s="23"/>
      <c r="CE450" s="23"/>
      <c r="CF450" s="23"/>
      <c r="CG450" s="23"/>
      <c r="CH450" s="23"/>
      <c r="CI450" s="23"/>
      <c r="CJ450" s="23"/>
      <c r="CK450" s="23"/>
      <c r="CL450" s="23"/>
      <c r="CM450" s="23"/>
      <c r="CN450" s="23"/>
      <c r="CO450" s="23"/>
      <c r="CP450" s="23"/>
      <c r="CQ450" s="23"/>
      <c r="CR450" s="23"/>
    </row>
    <row r="451" spans="1:96" s="44" customFormat="1" ht="44.25" customHeight="1" x14ac:dyDescent="0.25">
      <c r="A451" s="25">
        <v>13</v>
      </c>
      <c r="B451" s="26" t="s">
        <v>551</v>
      </c>
      <c r="C451" s="25" t="s">
        <v>43</v>
      </c>
      <c r="D451" s="27" t="s">
        <v>79</v>
      </c>
      <c r="E451" s="27" t="s">
        <v>39</v>
      </c>
      <c r="F451" s="25" t="s">
        <v>77</v>
      </c>
      <c r="G451" s="28" t="s">
        <v>414</v>
      </c>
      <c r="H451" s="28">
        <v>1</v>
      </c>
      <c r="I451" s="29">
        <v>1884.1</v>
      </c>
      <c r="J451" s="29">
        <v>1706.1</v>
      </c>
      <c r="K451" s="29">
        <f>1706.1-355.3</f>
        <v>1350.8</v>
      </c>
      <c r="L451" s="30">
        <v>97</v>
      </c>
      <c r="M451" s="31">
        <f t="shared" si="105"/>
        <v>288915.08</v>
      </c>
      <c r="N451" s="29">
        <v>0</v>
      </c>
      <c r="O451" s="29">
        <v>0</v>
      </c>
      <c r="P451" s="29">
        <v>0</v>
      </c>
      <c r="Q451" s="29">
        <f>'Таблица 3 '!C441</f>
        <v>288915.08</v>
      </c>
      <c r="R451" s="29">
        <f t="shared" si="106"/>
        <v>288915.08</v>
      </c>
      <c r="S451" s="29">
        <v>0</v>
      </c>
      <c r="T451" s="29">
        <f t="shared" si="95"/>
        <v>169.34240665846085</v>
      </c>
      <c r="U451" s="31">
        <f t="shared" si="96"/>
        <v>169.34240665846085</v>
      </c>
      <c r="V451" s="33" t="s">
        <v>45</v>
      </c>
    </row>
    <row r="452" spans="1:96" s="44" customFormat="1" ht="44.25" customHeight="1" x14ac:dyDescent="0.25">
      <c r="A452" s="25">
        <v>14</v>
      </c>
      <c r="B452" s="26" t="s">
        <v>552</v>
      </c>
      <c r="C452" s="25" t="s">
        <v>43</v>
      </c>
      <c r="D452" s="27" t="s">
        <v>370</v>
      </c>
      <c r="E452" s="27" t="s">
        <v>553</v>
      </c>
      <c r="F452" s="25" t="s">
        <v>77</v>
      </c>
      <c r="G452" s="28" t="s">
        <v>414</v>
      </c>
      <c r="H452" s="28">
        <v>4</v>
      </c>
      <c r="I452" s="32">
        <v>3187.7</v>
      </c>
      <c r="J452" s="32">
        <v>2777.7</v>
      </c>
      <c r="K452" s="32">
        <v>2777.7</v>
      </c>
      <c r="L452" s="35">
        <v>102</v>
      </c>
      <c r="M452" s="31">
        <f t="shared" si="105"/>
        <v>9563903.4399999995</v>
      </c>
      <c r="N452" s="29">
        <v>0</v>
      </c>
      <c r="O452" s="29">
        <v>0</v>
      </c>
      <c r="P452" s="29">
        <v>0</v>
      </c>
      <c r="Q452" s="29">
        <f>'Таблица 3 '!C442</f>
        <v>9563903.4399999995</v>
      </c>
      <c r="R452" s="29">
        <f t="shared" si="106"/>
        <v>9563903.4399999995</v>
      </c>
      <c r="S452" s="29">
        <v>0</v>
      </c>
      <c r="T452" s="32">
        <f t="shared" si="95"/>
        <v>3443.1016452460667</v>
      </c>
      <c r="U452" s="83">
        <f t="shared" si="96"/>
        <v>3443.1016452460667</v>
      </c>
      <c r="V452" s="33" t="s">
        <v>45</v>
      </c>
      <c r="W452" s="23"/>
      <c r="X452" s="23"/>
      <c r="Y452" s="23"/>
      <c r="Z452" s="23"/>
      <c r="AA452" s="23"/>
      <c r="AB452" s="23"/>
      <c r="AC452" s="23"/>
      <c r="AD452" s="23"/>
      <c r="AE452" s="23"/>
      <c r="AF452" s="23"/>
      <c r="AG452" s="23"/>
      <c r="AH452" s="23"/>
      <c r="AI452" s="23"/>
      <c r="AJ452" s="23"/>
      <c r="AK452" s="23"/>
      <c r="AL452" s="23"/>
      <c r="AM452" s="23"/>
      <c r="AN452" s="23"/>
      <c r="AO452" s="23"/>
      <c r="AP452" s="23"/>
      <c r="AQ452" s="23"/>
      <c r="AR452" s="23"/>
      <c r="AS452" s="23"/>
      <c r="AT452" s="23"/>
      <c r="AU452" s="23"/>
      <c r="AV452" s="23"/>
      <c r="AW452" s="23"/>
      <c r="AX452" s="23"/>
      <c r="AY452" s="23"/>
      <c r="AZ452" s="23"/>
      <c r="BA452" s="23"/>
      <c r="BB452" s="23"/>
      <c r="BC452" s="23"/>
      <c r="BD452" s="23"/>
      <c r="BE452" s="23"/>
      <c r="BF452" s="23"/>
      <c r="BG452" s="23"/>
      <c r="BH452" s="23"/>
      <c r="BI452" s="23"/>
      <c r="BJ452" s="23"/>
      <c r="BK452" s="23"/>
      <c r="BL452" s="23"/>
      <c r="BM452" s="23"/>
      <c r="BN452" s="23"/>
      <c r="BO452" s="23"/>
      <c r="BP452" s="23"/>
      <c r="BQ452" s="23"/>
      <c r="BR452" s="23"/>
      <c r="BS452" s="23"/>
      <c r="BT452" s="23"/>
      <c r="BU452" s="23"/>
      <c r="BV452" s="23"/>
      <c r="BW452" s="23"/>
      <c r="BX452" s="23"/>
      <c r="BY452" s="23"/>
      <c r="BZ452" s="23"/>
      <c r="CA452" s="23"/>
      <c r="CB452" s="23"/>
      <c r="CC452" s="23"/>
      <c r="CD452" s="23"/>
      <c r="CE452" s="23"/>
      <c r="CF452" s="23"/>
      <c r="CG452" s="23"/>
      <c r="CH452" s="23"/>
      <c r="CI452" s="23"/>
      <c r="CJ452" s="23"/>
      <c r="CK452" s="23"/>
      <c r="CL452" s="23"/>
      <c r="CM452" s="23"/>
      <c r="CN452" s="23"/>
      <c r="CO452" s="23"/>
      <c r="CP452" s="23"/>
      <c r="CQ452" s="23"/>
      <c r="CR452" s="23"/>
    </row>
    <row r="453" spans="1:96" s="44" customFormat="1" ht="44.25" customHeight="1" x14ac:dyDescent="0.25">
      <c r="A453" s="25">
        <v>15</v>
      </c>
      <c r="B453" s="26" t="s">
        <v>554</v>
      </c>
      <c r="C453" s="25" t="s">
        <v>43</v>
      </c>
      <c r="D453" s="27" t="s">
        <v>79</v>
      </c>
      <c r="E453" s="27" t="s">
        <v>39</v>
      </c>
      <c r="F453" s="25" t="s">
        <v>77</v>
      </c>
      <c r="G453" s="28" t="s">
        <v>420</v>
      </c>
      <c r="H453" s="28" t="s">
        <v>420</v>
      </c>
      <c r="I453" s="29">
        <v>671.6</v>
      </c>
      <c r="J453" s="29">
        <v>621.71</v>
      </c>
      <c r="K453" s="29">
        <v>621.71</v>
      </c>
      <c r="L453" s="30">
        <v>33</v>
      </c>
      <c r="M453" s="31">
        <f t="shared" si="105"/>
        <v>494917.35</v>
      </c>
      <c r="N453" s="29">
        <v>0</v>
      </c>
      <c r="O453" s="29">
        <v>0</v>
      </c>
      <c r="P453" s="29">
        <v>0</v>
      </c>
      <c r="Q453" s="29">
        <f>'Таблица 3 '!C443</f>
        <v>494917.35</v>
      </c>
      <c r="R453" s="29">
        <f t="shared" si="106"/>
        <v>494917.35</v>
      </c>
      <c r="S453" s="29">
        <v>0</v>
      </c>
      <c r="T453" s="29">
        <f t="shared" si="95"/>
        <v>796.05821041964896</v>
      </c>
      <c r="U453" s="31">
        <f t="shared" si="96"/>
        <v>796.05821041964896</v>
      </c>
      <c r="V453" s="33" t="s">
        <v>45</v>
      </c>
      <c r="W453" s="23"/>
      <c r="X453" s="23"/>
      <c r="Y453" s="23"/>
      <c r="Z453" s="23"/>
      <c r="AA453" s="23"/>
      <c r="AB453" s="23"/>
      <c r="AC453" s="23"/>
      <c r="AD453" s="23"/>
      <c r="AE453" s="23"/>
      <c r="AF453" s="23"/>
      <c r="AG453" s="23"/>
      <c r="AH453" s="23"/>
      <c r="AI453" s="23"/>
      <c r="AJ453" s="23"/>
      <c r="AK453" s="23"/>
      <c r="AL453" s="23"/>
      <c r="AM453" s="23"/>
      <c r="AN453" s="23"/>
      <c r="AO453" s="23"/>
      <c r="AP453" s="23"/>
      <c r="AQ453" s="23"/>
      <c r="AR453" s="23"/>
      <c r="AS453" s="23"/>
      <c r="AT453" s="23"/>
      <c r="AU453" s="23"/>
      <c r="AV453" s="23"/>
      <c r="AW453" s="23"/>
      <c r="AX453" s="23"/>
      <c r="AY453" s="23"/>
      <c r="AZ453" s="23"/>
      <c r="BA453" s="23"/>
      <c r="BB453" s="23"/>
      <c r="BC453" s="23"/>
      <c r="BD453" s="23"/>
      <c r="BE453" s="23"/>
      <c r="BF453" s="23"/>
      <c r="BG453" s="23"/>
      <c r="BH453" s="23"/>
      <c r="BI453" s="23"/>
      <c r="BJ453" s="23"/>
      <c r="BK453" s="23"/>
      <c r="BL453" s="23"/>
      <c r="BM453" s="23"/>
      <c r="BN453" s="23"/>
      <c r="BO453" s="23"/>
      <c r="BP453" s="23"/>
      <c r="BQ453" s="23"/>
      <c r="BR453" s="23"/>
      <c r="BS453" s="23"/>
      <c r="BT453" s="23"/>
      <c r="BU453" s="23"/>
      <c r="BV453" s="23"/>
      <c r="BW453" s="23"/>
      <c r="BX453" s="23"/>
      <c r="BY453" s="23"/>
      <c r="BZ453" s="23"/>
      <c r="CA453" s="23"/>
      <c r="CB453" s="23"/>
      <c r="CC453" s="23"/>
      <c r="CD453" s="23"/>
      <c r="CE453" s="23"/>
      <c r="CF453" s="23"/>
      <c r="CG453" s="23"/>
      <c r="CH453" s="23"/>
      <c r="CI453" s="23"/>
      <c r="CJ453" s="23"/>
      <c r="CK453" s="23"/>
      <c r="CL453" s="23"/>
      <c r="CM453" s="23"/>
      <c r="CN453" s="23"/>
      <c r="CO453" s="23"/>
      <c r="CP453" s="23"/>
      <c r="CQ453" s="23"/>
      <c r="CR453" s="23"/>
    </row>
    <row r="454" spans="1:96" s="44" customFormat="1" ht="44.25" customHeight="1" x14ac:dyDescent="0.25">
      <c r="A454" s="25">
        <v>16</v>
      </c>
      <c r="B454" s="26" t="s">
        <v>555</v>
      </c>
      <c r="C454" s="25" t="s">
        <v>43</v>
      </c>
      <c r="D454" s="27" t="s">
        <v>93</v>
      </c>
      <c r="E454" s="27" t="s">
        <v>39</v>
      </c>
      <c r="F454" s="25" t="s">
        <v>77</v>
      </c>
      <c r="G454" s="28" t="s">
        <v>420</v>
      </c>
      <c r="H454" s="28" t="s">
        <v>420</v>
      </c>
      <c r="I454" s="29">
        <v>670.8</v>
      </c>
      <c r="J454" s="29">
        <v>620.89</v>
      </c>
      <c r="K454" s="29">
        <v>513.09</v>
      </c>
      <c r="L454" s="30">
        <v>24</v>
      </c>
      <c r="M454" s="31">
        <f t="shared" si="105"/>
        <v>495769.45</v>
      </c>
      <c r="N454" s="29">
        <v>0</v>
      </c>
      <c r="O454" s="29">
        <v>0</v>
      </c>
      <c r="P454" s="29">
        <v>0</v>
      </c>
      <c r="Q454" s="29">
        <f>'Таблица 3 '!C444</f>
        <v>495769.45</v>
      </c>
      <c r="R454" s="29">
        <f t="shared" si="106"/>
        <v>495769.45</v>
      </c>
      <c r="S454" s="29">
        <v>0</v>
      </c>
      <c r="T454" s="29">
        <f t="shared" si="95"/>
        <v>798.48193721915322</v>
      </c>
      <c r="U454" s="31">
        <f t="shared" si="96"/>
        <v>798.48193721915322</v>
      </c>
      <c r="V454" s="33" t="s">
        <v>45</v>
      </c>
      <c r="W454" s="23"/>
      <c r="X454" s="23"/>
      <c r="Y454" s="23"/>
      <c r="Z454" s="23"/>
      <c r="AA454" s="23"/>
      <c r="AB454" s="23"/>
      <c r="AC454" s="23"/>
      <c r="AD454" s="23"/>
      <c r="AE454" s="23"/>
      <c r="AF454" s="23"/>
      <c r="AG454" s="23"/>
      <c r="AH454" s="23"/>
      <c r="AI454" s="23"/>
      <c r="AJ454" s="23"/>
      <c r="AK454" s="23"/>
      <c r="AL454" s="23"/>
      <c r="AM454" s="23"/>
      <c r="AN454" s="23"/>
      <c r="AO454" s="23"/>
      <c r="AP454" s="23"/>
      <c r="AQ454" s="23"/>
      <c r="AR454" s="23"/>
      <c r="AS454" s="23"/>
      <c r="AT454" s="23"/>
      <c r="AU454" s="23"/>
      <c r="AV454" s="23"/>
      <c r="AW454" s="23"/>
      <c r="AX454" s="23"/>
      <c r="AY454" s="23"/>
      <c r="AZ454" s="23"/>
      <c r="BA454" s="23"/>
      <c r="BB454" s="23"/>
      <c r="BC454" s="23"/>
      <c r="BD454" s="23"/>
      <c r="BE454" s="23"/>
      <c r="BF454" s="23"/>
      <c r="BG454" s="23"/>
      <c r="BH454" s="23"/>
      <c r="BI454" s="23"/>
      <c r="BJ454" s="23"/>
      <c r="BK454" s="23"/>
      <c r="BL454" s="23"/>
      <c r="BM454" s="23"/>
      <c r="BN454" s="23"/>
      <c r="BO454" s="23"/>
      <c r="BP454" s="23"/>
      <c r="BQ454" s="23"/>
      <c r="BR454" s="23"/>
      <c r="BS454" s="23"/>
      <c r="BT454" s="23"/>
      <c r="BU454" s="23"/>
      <c r="BV454" s="23"/>
      <c r="BW454" s="23"/>
      <c r="BX454" s="23"/>
      <c r="BY454" s="23"/>
      <c r="BZ454" s="23"/>
      <c r="CA454" s="23"/>
      <c r="CB454" s="23"/>
      <c r="CC454" s="23"/>
      <c r="CD454" s="23"/>
      <c r="CE454" s="23"/>
      <c r="CF454" s="23"/>
      <c r="CG454" s="23"/>
      <c r="CH454" s="23"/>
      <c r="CI454" s="23"/>
      <c r="CJ454" s="23"/>
      <c r="CK454" s="23"/>
      <c r="CL454" s="23"/>
      <c r="CM454" s="23"/>
      <c r="CN454" s="23"/>
      <c r="CO454" s="23"/>
      <c r="CP454" s="23"/>
      <c r="CQ454" s="23"/>
      <c r="CR454" s="23"/>
    </row>
    <row r="455" spans="1:96" s="44" customFormat="1" ht="48.75" customHeight="1" x14ac:dyDescent="0.25">
      <c r="A455" s="25">
        <v>17</v>
      </c>
      <c r="B455" s="26" t="s">
        <v>556</v>
      </c>
      <c r="C455" s="25" t="s">
        <v>43</v>
      </c>
      <c r="D455" s="27" t="s">
        <v>135</v>
      </c>
      <c r="E455" s="27" t="s">
        <v>557</v>
      </c>
      <c r="F455" s="25" t="s">
        <v>77</v>
      </c>
      <c r="G455" s="28" t="s">
        <v>420</v>
      </c>
      <c r="H455" s="28" t="s">
        <v>420</v>
      </c>
      <c r="I455" s="29">
        <v>750.1</v>
      </c>
      <c r="J455" s="29">
        <v>719.7</v>
      </c>
      <c r="K455" s="29">
        <v>240.3</v>
      </c>
      <c r="L455" s="30">
        <v>29</v>
      </c>
      <c r="M455" s="31">
        <f t="shared" si="105"/>
        <v>590729.74</v>
      </c>
      <c r="N455" s="29">
        <v>0</v>
      </c>
      <c r="O455" s="29">
        <v>0</v>
      </c>
      <c r="P455" s="29">
        <v>0</v>
      </c>
      <c r="Q455" s="29">
        <f>'Таблица 3 '!C445</f>
        <v>590729.74</v>
      </c>
      <c r="R455" s="29">
        <f t="shared" si="106"/>
        <v>590729.74</v>
      </c>
      <c r="S455" s="29">
        <v>0</v>
      </c>
      <c r="T455" s="32">
        <f t="shared" si="95"/>
        <v>820.7999722106432</v>
      </c>
      <c r="U455" s="83">
        <f t="shared" si="96"/>
        <v>820.7999722106432</v>
      </c>
      <c r="V455" s="33" t="s">
        <v>45</v>
      </c>
    </row>
    <row r="456" spans="1:96" s="44" customFormat="1" ht="24.75" customHeight="1" x14ac:dyDescent="0.25">
      <c r="A456" s="322" t="s">
        <v>558</v>
      </c>
      <c r="B456" s="322"/>
      <c r="C456" s="78" t="s">
        <v>39</v>
      </c>
      <c r="D456" s="79" t="s">
        <v>39</v>
      </c>
      <c r="E456" s="80" t="s">
        <v>39</v>
      </c>
      <c r="F456" s="78" t="s">
        <v>39</v>
      </c>
      <c r="G456" s="81" t="s">
        <v>39</v>
      </c>
      <c r="H456" s="81" t="s">
        <v>39</v>
      </c>
      <c r="I456" s="21">
        <f t="shared" ref="I456:S456" si="107">SUM(I457:I459)</f>
        <v>1529.26</v>
      </c>
      <c r="J456" s="21">
        <f t="shared" si="107"/>
        <v>1406.3000000000002</v>
      </c>
      <c r="K456" s="21">
        <f t="shared" si="107"/>
        <v>1406.3000000000002</v>
      </c>
      <c r="L456" s="22">
        <f t="shared" si="107"/>
        <v>72</v>
      </c>
      <c r="M456" s="21">
        <f t="shared" si="107"/>
        <v>5523218.6899999995</v>
      </c>
      <c r="N456" s="21">
        <f t="shared" si="107"/>
        <v>0</v>
      </c>
      <c r="O456" s="21">
        <f t="shared" si="107"/>
        <v>0</v>
      </c>
      <c r="P456" s="21">
        <f t="shared" si="107"/>
        <v>0</v>
      </c>
      <c r="Q456" s="21">
        <f t="shared" si="107"/>
        <v>5523218.6899999995</v>
      </c>
      <c r="R456" s="21">
        <f t="shared" si="107"/>
        <v>5523218.6899999995</v>
      </c>
      <c r="S456" s="21">
        <f t="shared" si="107"/>
        <v>0</v>
      </c>
      <c r="T456" s="24" t="s">
        <v>39</v>
      </c>
      <c r="U456" s="24" t="s">
        <v>39</v>
      </c>
      <c r="V456" s="20" t="s">
        <v>39</v>
      </c>
      <c r="W456" s="23"/>
      <c r="X456" s="23"/>
      <c r="Y456" s="23"/>
      <c r="Z456" s="23"/>
      <c r="AA456" s="23"/>
      <c r="AB456" s="23"/>
      <c r="AC456" s="23"/>
      <c r="AD456" s="23"/>
      <c r="AE456" s="23"/>
      <c r="AF456" s="23"/>
      <c r="AG456" s="23"/>
      <c r="AH456" s="23"/>
      <c r="AI456" s="23"/>
      <c r="AJ456" s="23"/>
      <c r="AK456" s="23"/>
      <c r="AL456" s="23"/>
      <c r="AM456" s="23"/>
      <c r="AN456" s="23"/>
      <c r="AO456" s="23"/>
      <c r="AP456" s="23"/>
      <c r="AQ456" s="23"/>
      <c r="AR456" s="23"/>
      <c r="AS456" s="23"/>
      <c r="AT456" s="23"/>
      <c r="AU456" s="23"/>
      <c r="AV456" s="23"/>
      <c r="AW456" s="23"/>
      <c r="AX456" s="23"/>
      <c r="AY456" s="23"/>
      <c r="AZ456" s="23"/>
      <c r="BA456" s="23"/>
      <c r="BB456" s="23"/>
      <c r="BC456" s="23"/>
      <c r="BD456" s="23"/>
      <c r="BE456" s="23"/>
      <c r="BF456" s="23"/>
      <c r="BG456" s="23"/>
      <c r="BH456" s="23"/>
      <c r="BI456" s="23"/>
      <c r="BJ456" s="23"/>
      <c r="BK456" s="23"/>
      <c r="BL456" s="23"/>
      <c r="BM456" s="23"/>
      <c r="BN456" s="23"/>
      <c r="BO456" s="23"/>
      <c r="BP456" s="23"/>
      <c r="BQ456" s="23"/>
      <c r="BR456" s="23"/>
      <c r="BS456" s="23"/>
      <c r="BT456" s="23"/>
      <c r="BU456" s="23"/>
      <c r="BV456" s="23"/>
      <c r="BW456" s="23"/>
      <c r="BX456" s="23"/>
      <c r="BY456" s="23"/>
      <c r="BZ456" s="23"/>
      <c r="CA456" s="23"/>
      <c r="CB456" s="23"/>
      <c r="CC456" s="23"/>
      <c r="CD456" s="23"/>
      <c r="CE456" s="23"/>
      <c r="CF456" s="23"/>
      <c r="CG456" s="23"/>
      <c r="CH456" s="23"/>
      <c r="CI456" s="23"/>
      <c r="CJ456" s="23"/>
      <c r="CK456" s="23"/>
      <c r="CL456" s="23"/>
      <c r="CM456" s="23"/>
      <c r="CN456" s="23"/>
      <c r="CO456" s="23"/>
      <c r="CP456" s="23"/>
      <c r="CQ456" s="23"/>
      <c r="CR456" s="95"/>
    </row>
    <row r="457" spans="1:96" s="44" customFormat="1" ht="42" customHeight="1" x14ac:dyDescent="0.25">
      <c r="A457" s="25">
        <v>1</v>
      </c>
      <c r="B457" s="100" t="s">
        <v>559</v>
      </c>
      <c r="C457" s="25" t="s">
        <v>43</v>
      </c>
      <c r="D457" s="27" t="s">
        <v>266</v>
      </c>
      <c r="E457" s="27" t="s">
        <v>39</v>
      </c>
      <c r="F457" s="25" t="s">
        <v>77</v>
      </c>
      <c r="G457" s="28">
        <v>2</v>
      </c>
      <c r="H457" s="28">
        <v>1</v>
      </c>
      <c r="I457" s="29">
        <v>379.66</v>
      </c>
      <c r="J457" s="29">
        <v>363.3</v>
      </c>
      <c r="K457" s="29">
        <v>363.3</v>
      </c>
      <c r="L457" s="30">
        <v>10</v>
      </c>
      <c r="M457" s="29">
        <f t="shared" ref="M457:M459" si="108">SUM(N457:Q457)</f>
        <v>1802531.01</v>
      </c>
      <c r="N457" s="29">
        <v>0</v>
      </c>
      <c r="O457" s="29">
        <v>0</v>
      </c>
      <c r="P457" s="29">
        <v>0</v>
      </c>
      <c r="Q457" s="29">
        <f>'Таблица 3 '!C447</f>
        <v>1802531.01</v>
      </c>
      <c r="R457" s="29">
        <f t="shared" ref="R457:R459" si="109">Q457</f>
        <v>1802531.01</v>
      </c>
      <c r="S457" s="29">
        <v>0</v>
      </c>
      <c r="T457" s="29">
        <f t="shared" si="95"/>
        <v>4961.5497109826592</v>
      </c>
      <c r="U457" s="29">
        <f t="shared" si="96"/>
        <v>4961.5497109826592</v>
      </c>
      <c r="V457" s="33" t="s">
        <v>45</v>
      </c>
      <c r="W457" s="23"/>
      <c r="X457" s="23"/>
      <c r="Y457" s="23"/>
      <c r="Z457" s="23"/>
      <c r="AA457" s="23"/>
      <c r="AB457" s="23"/>
      <c r="AC457" s="23"/>
      <c r="AD457" s="23"/>
      <c r="AE457" s="23"/>
      <c r="AF457" s="23"/>
      <c r="AG457" s="23"/>
      <c r="AH457" s="23"/>
      <c r="AI457" s="23"/>
      <c r="AJ457" s="23"/>
      <c r="AK457" s="23"/>
      <c r="AL457" s="23"/>
      <c r="AM457" s="23"/>
      <c r="AN457" s="23"/>
      <c r="AO457" s="23"/>
      <c r="AP457" s="23"/>
      <c r="AQ457" s="23"/>
      <c r="AR457" s="23"/>
      <c r="AS457" s="23"/>
      <c r="AT457" s="23"/>
      <c r="AU457" s="23"/>
      <c r="AV457" s="23"/>
      <c r="AW457" s="23"/>
      <c r="AX457" s="23"/>
      <c r="AY457" s="23"/>
      <c r="AZ457" s="23"/>
      <c r="BA457" s="23"/>
      <c r="BB457" s="23"/>
      <c r="BC457" s="23"/>
      <c r="BD457" s="23"/>
      <c r="BE457" s="23"/>
      <c r="BF457" s="23"/>
      <c r="BG457" s="23"/>
      <c r="BH457" s="23"/>
      <c r="BI457" s="23"/>
      <c r="BJ457" s="23"/>
      <c r="BK457" s="23"/>
      <c r="BL457" s="23"/>
      <c r="BM457" s="23"/>
      <c r="BN457" s="23"/>
      <c r="BO457" s="23"/>
      <c r="BP457" s="23"/>
      <c r="BQ457" s="23"/>
      <c r="BR457" s="23"/>
      <c r="BS457" s="23"/>
      <c r="BT457" s="23"/>
      <c r="BU457" s="23"/>
      <c r="BV457" s="23"/>
      <c r="BW457" s="23"/>
      <c r="BX457" s="23"/>
      <c r="BY457" s="23"/>
      <c r="BZ457" s="23"/>
      <c r="CA457" s="23"/>
      <c r="CB457" s="23"/>
      <c r="CC457" s="23"/>
      <c r="CD457" s="23"/>
      <c r="CE457" s="23"/>
      <c r="CF457" s="23"/>
      <c r="CG457" s="23"/>
      <c r="CH457" s="23"/>
      <c r="CI457" s="23"/>
      <c r="CJ457" s="23"/>
      <c r="CK457" s="23"/>
      <c r="CL457" s="23"/>
      <c r="CM457" s="23"/>
      <c r="CN457" s="23"/>
      <c r="CO457" s="23"/>
      <c r="CP457" s="23"/>
      <c r="CQ457" s="23"/>
      <c r="CR457" s="23"/>
    </row>
    <row r="458" spans="1:96" s="44" customFormat="1" ht="44.25" customHeight="1" x14ac:dyDescent="0.25">
      <c r="A458" s="25">
        <v>2</v>
      </c>
      <c r="B458" s="100" t="s">
        <v>560</v>
      </c>
      <c r="C458" s="25" t="s">
        <v>43</v>
      </c>
      <c r="D458" s="27" t="s">
        <v>168</v>
      </c>
      <c r="E458" s="27" t="s">
        <v>39</v>
      </c>
      <c r="F458" s="25" t="s">
        <v>77</v>
      </c>
      <c r="G458" s="28" t="s">
        <v>420</v>
      </c>
      <c r="H458" s="28" t="s">
        <v>420</v>
      </c>
      <c r="I458" s="29">
        <v>726.6</v>
      </c>
      <c r="J458" s="29">
        <v>701.9</v>
      </c>
      <c r="K458" s="29">
        <v>701.9</v>
      </c>
      <c r="L458" s="30">
        <v>42</v>
      </c>
      <c r="M458" s="29">
        <f t="shared" si="108"/>
        <v>3541723.96</v>
      </c>
      <c r="N458" s="29">
        <v>0</v>
      </c>
      <c r="O458" s="29">
        <v>0</v>
      </c>
      <c r="P458" s="29">
        <v>0</v>
      </c>
      <c r="Q458" s="29">
        <f>'Таблица 3 '!C448</f>
        <v>3541723.96</v>
      </c>
      <c r="R458" s="29">
        <f t="shared" si="109"/>
        <v>3541723.96</v>
      </c>
      <c r="S458" s="29">
        <v>0</v>
      </c>
      <c r="T458" s="32">
        <f t="shared" si="95"/>
        <v>5045.909616754524</v>
      </c>
      <c r="U458" s="83">
        <f t="shared" si="96"/>
        <v>5045.909616754524</v>
      </c>
      <c r="V458" s="33" t="s">
        <v>45</v>
      </c>
      <c r="W458" s="23"/>
      <c r="X458" s="23"/>
      <c r="Y458" s="23"/>
      <c r="Z458" s="23"/>
      <c r="AA458" s="23"/>
      <c r="AB458" s="23"/>
      <c r="AC458" s="23"/>
      <c r="AD458" s="23"/>
      <c r="AE458" s="23"/>
      <c r="AF458" s="23"/>
      <c r="AG458" s="23"/>
      <c r="AH458" s="23"/>
      <c r="AI458" s="23"/>
      <c r="AJ458" s="23"/>
      <c r="AK458" s="23"/>
      <c r="AL458" s="23"/>
      <c r="AM458" s="23"/>
      <c r="AN458" s="23"/>
      <c r="AO458" s="23"/>
      <c r="AP458" s="23"/>
      <c r="AQ458" s="23"/>
      <c r="AR458" s="23"/>
      <c r="AS458" s="23"/>
      <c r="AT458" s="23"/>
      <c r="AU458" s="23"/>
      <c r="AV458" s="23"/>
      <c r="AW458" s="23"/>
      <c r="AX458" s="23"/>
      <c r="AY458" s="23"/>
      <c r="AZ458" s="23"/>
      <c r="BA458" s="23"/>
      <c r="BB458" s="23"/>
      <c r="BC458" s="23"/>
      <c r="BD458" s="23"/>
      <c r="BE458" s="23"/>
      <c r="BF458" s="23"/>
      <c r="BG458" s="23"/>
      <c r="BH458" s="23"/>
      <c r="BI458" s="23"/>
      <c r="BJ458" s="23"/>
      <c r="BK458" s="23"/>
      <c r="BL458" s="23"/>
      <c r="BM458" s="23"/>
      <c r="BN458" s="23"/>
      <c r="BO458" s="23"/>
      <c r="BP458" s="23"/>
      <c r="BQ458" s="23"/>
      <c r="BR458" s="23"/>
      <c r="BS458" s="23"/>
      <c r="BT458" s="23"/>
      <c r="BU458" s="23"/>
      <c r="BV458" s="23"/>
      <c r="BW458" s="23"/>
      <c r="BX458" s="23"/>
      <c r="BY458" s="23"/>
      <c r="BZ458" s="23"/>
      <c r="CA458" s="23"/>
      <c r="CB458" s="23"/>
      <c r="CC458" s="23"/>
      <c r="CD458" s="23"/>
      <c r="CE458" s="23"/>
      <c r="CF458" s="23"/>
      <c r="CG458" s="23"/>
      <c r="CH458" s="23"/>
      <c r="CI458" s="23"/>
      <c r="CJ458" s="23"/>
      <c r="CK458" s="23"/>
      <c r="CL458" s="23"/>
      <c r="CM458" s="23"/>
      <c r="CN458" s="23"/>
      <c r="CO458" s="23"/>
      <c r="CP458" s="23"/>
      <c r="CQ458" s="23"/>
      <c r="CR458" s="23"/>
    </row>
    <row r="459" spans="1:96" s="44" customFormat="1" ht="44.25" customHeight="1" x14ac:dyDescent="0.25">
      <c r="A459" s="25">
        <v>3</v>
      </c>
      <c r="B459" s="100" t="s">
        <v>561</v>
      </c>
      <c r="C459" s="25" t="s">
        <v>43</v>
      </c>
      <c r="D459" s="27" t="s">
        <v>562</v>
      </c>
      <c r="E459" s="27" t="s">
        <v>39</v>
      </c>
      <c r="F459" s="25" t="s">
        <v>563</v>
      </c>
      <c r="G459" s="28">
        <v>2</v>
      </c>
      <c r="H459" s="28">
        <v>3</v>
      </c>
      <c r="I459" s="29">
        <v>423</v>
      </c>
      <c r="J459" s="29">
        <v>341.1</v>
      </c>
      <c r="K459" s="29">
        <v>341.1</v>
      </c>
      <c r="L459" s="30">
        <v>20</v>
      </c>
      <c r="M459" s="29">
        <f t="shared" si="108"/>
        <v>178963.72</v>
      </c>
      <c r="N459" s="29">
        <v>0</v>
      </c>
      <c r="O459" s="29">
        <v>0</v>
      </c>
      <c r="P459" s="29">
        <v>0</v>
      </c>
      <c r="Q459" s="29">
        <f>'Таблица 3 '!C449</f>
        <v>178963.72</v>
      </c>
      <c r="R459" s="29">
        <f t="shared" si="109"/>
        <v>178963.72</v>
      </c>
      <c r="S459" s="29">
        <v>0</v>
      </c>
      <c r="T459" s="29">
        <f t="shared" si="95"/>
        <v>524.66643213133977</v>
      </c>
      <c r="U459" s="29">
        <f t="shared" si="96"/>
        <v>524.66643213133977</v>
      </c>
      <c r="V459" s="33" t="s">
        <v>45</v>
      </c>
      <c r="W459" s="23"/>
      <c r="X459" s="23"/>
      <c r="Y459" s="23"/>
      <c r="Z459" s="23"/>
      <c r="AA459" s="23"/>
      <c r="AB459" s="23"/>
      <c r="AC459" s="23"/>
      <c r="AD459" s="23"/>
      <c r="AE459" s="23"/>
      <c r="AF459" s="23"/>
      <c r="AG459" s="23"/>
      <c r="AH459" s="23"/>
      <c r="AI459" s="23"/>
      <c r="AJ459" s="23"/>
      <c r="AK459" s="23"/>
      <c r="AL459" s="23"/>
      <c r="AM459" s="23"/>
      <c r="AN459" s="23"/>
      <c r="AO459" s="23"/>
      <c r="AP459" s="23"/>
      <c r="AQ459" s="23"/>
      <c r="AR459" s="23"/>
      <c r="AS459" s="23"/>
      <c r="AT459" s="23"/>
      <c r="AU459" s="23"/>
      <c r="AV459" s="23"/>
      <c r="AW459" s="23"/>
      <c r="AX459" s="23"/>
      <c r="AY459" s="23"/>
      <c r="AZ459" s="23"/>
      <c r="BA459" s="23"/>
      <c r="BB459" s="23"/>
      <c r="BC459" s="23"/>
      <c r="BD459" s="23"/>
      <c r="BE459" s="23"/>
      <c r="BF459" s="23"/>
      <c r="BG459" s="23"/>
      <c r="BH459" s="23"/>
      <c r="BI459" s="23"/>
      <c r="BJ459" s="23"/>
      <c r="BK459" s="23"/>
      <c r="BL459" s="23"/>
      <c r="BM459" s="23"/>
      <c r="BN459" s="23"/>
      <c r="BO459" s="23"/>
      <c r="BP459" s="23"/>
      <c r="BQ459" s="23"/>
      <c r="BR459" s="23"/>
      <c r="BS459" s="23"/>
      <c r="BT459" s="23"/>
      <c r="BU459" s="23"/>
      <c r="BV459" s="23"/>
      <c r="BW459" s="23"/>
      <c r="BX459" s="23"/>
      <c r="BY459" s="23"/>
      <c r="BZ459" s="23"/>
      <c r="CA459" s="23"/>
      <c r="CB459" s="23"/>
      <c r="CC459" s="23"/>
      <c r="CD459" s="23"/>
      <c r="CE459" s="23"/>
      <c r="CF459" s="23"/>
      <c r="CG459" s="23"/>
      <c r="CH459" s="23"/>
      <c r="CI459" s="23"/>
      <c r="CJ459" s="23"/>
      <c r="CK459" s="23"/>
      <c r="CL459" s="23"/>
      <c r="CM459" s="23"/>
      <c r="CN459" s="23"/>
      <c r="CO459" s="23"/>
      <c r="CP459" s="23"/>
      <c r="CQ459" s="23"/>
      <c r="CR459" s="23"/>
    </row>
    <row r="460" spans="1:96" s="44" customFormat="1" ht="24.75" customHeight="1" x14ac:dyDescent="0.25">
      <c r="A460" s="322" t="s">
        <v>564</v>
      </c>
      <c r="B460" s="322"/>
      <c r="C460" s="78" t="s">
        <v>39</v>
      </c>
      <c r="D460" s="79" t="s">
        <v>39</v>
      </c>
      <c r="E460" s="80" t="s">
        <v>39</v>
      </c>
      <c r="F460" s="78" t="s">
        <v>39</v>
      </c>
      <c r="G460" s="81" t="s">
        <v>39</v>
      </c>
      <c r="H460" s="81" t="s">
        <v>39</v>
      </c>
      <c r="I460" s="21">
        <f t="shared" ref="I460:S460" si="110">SUM(I461:I462)</f>
        <v>2057</v>
      </c>
      <c r="J460" s="21">
        <f t="shared" si="110"/>
        <v>1224.1100000000001</v>
      </c>
      <c r="K460" s="21">
        <f t="shared" si="110"/>
        <v>1190.21</v>
      </c>
      <c r="L460" s="22">
        <f t="shared" si="110"/>
        <v>55</v>
      </c>
      <c r="M460" s="21">
        <f t="shared" si="110"/>
        <v>3431485.71</v>
      </c>
      <c r="N460" s="21">
        <f t="shared" si="110"/>
        <v>0</v>
      </c>
      <c r="O460" s="21">
        <f t="shared" si="110"/>
        <v>0</v>
      </c>
      <c r="P460" s="21">
        <f t="shared" si="110"/>
        <v>0</v>
      </c>
      <c r="Q460" s="21">
        <f t="shared" si="110"/>
        <v>3431485.71</v>
      </c>
      <c r="R460" s="21">
        <f t="shared" si="110"/>
        <v>3431485.71</v>
      </c>
      <c r="S460" s="21">
        <f t="shared" si="110"/>
        <v>0</v>
      </c>
      <c r="T460" s="24" t="s">
        <v>39</v>
      </c>
      <c r="U460" s="24" t="s">
        <v>39</v>
      </c>
      <c r="V460" s="20" t="s">
        <v>39</v>
      </c>
      <c r="W460" s="23"/>
      <c r="X460" s="23"/>
      <c r="Y460" s="23"/>
      <c r="Z460" s="23"/>
      <c r="AA460" s="23"/>
      <c r="AB460" s="23"/>
      <c r="AC460" s="23"/>
      <c r="AD460" s="23"/>
      <c r="AE460" s="23"/>
      <c r="AF460" s="23"/>
      <c r="AG460" s="23"/>
      <c r="AH460" s="23"/>
      <c r="AI460" s="23"/>
      <c r="AJ460" s="23"/>
      <c r="AK460" s="23"/>
      <c r="AL460" s="23"/>
      <c r="AM460" s="23"/>
      <c r="AN460" s="23"/>
      <c r="AO460" s="23"/>
      <c r="AP460" s="23"/>
      <c r="AQ460" s="23"/>
      <c r="AR460" s="23"/>
      <c r="AS460" s="23"/>
      <c r="AT460" s="23"/>
      <c r="AU460" s="23"/>
      <c r="AV460" s="23"/>
      <c r="AW460" s="23"/>
      <c r="AX460" s="23"/>
      <c r="AY460" s="23"/>
      <c r="AZ460" s="23"/>
      <c r="BA460" s="23"/>
      <c r="BB460" s="23"/>
      <c r="BC460" s="23"/>
      <c r="BD460" s="23"/>
      <c r="BE460" s="23"/>
      <c r="BF460" s="23"/>
      <c r="BG460" s="23"/>
      <c r="BH460" s="23"/>
      <c r="BI460" s="23"/>
      <c r="BJ460" s="23"/>
      <c r="BK460" s="23"/>
      <c r="BL460" s="23"/>
      <c r="BM460" s="23"/>
      <c r="BN460" s="23"/>
      <c r="BO460" s="23"/>
      <c r="BP460" s="23"/>
      <c r="BQ460" s="23"/>
      <c r="BR460" s="23"/>
      <c r="BS460" s="23"/>
      <c r="BT460" s="23"/>
      <c r="BU460" s="23"/>
      <c r="BV460" s="23"/>
      <c r="BW460" s="23"/>
      <c r="BX460" s="23"/>
      <c r="BY460" s="23"/>
      <c r="BZ460" s="23"/>
      <c r="CA460" s="23"/>
      <c r="CB460" s="23"/>
      <c r="CC460" s="23"/>
      <c r="CD460" s="23"/>
      <c r="CE460" s="23"/>
      <c r="CF460" s="23"/>
      <c r="CG460" s="23"/>
      <c r="CH460" s="23"/>
      <c r="CI460" s="23"/>
      <c r="CJ460" s="23"/>
      <c r="CK460" s="23"/>
      <c r="CL460" s="23"/>
      <c r="CM460" s="23"/>
      <c r="CN460" s="23"/>
      <c r="CO460" s="23"/>
      <c r="CP460" s="23"/>
      <c r="CQ460" s="23"/>
      <c r="CR460" s="95"/>
    </row>
    <row r="461" spans="1:96" s="44" customFormat="1" ht="45" customHeight="1" x14ac:dyDescent="0.25">
      <c r="A461" s="25">
        <v>1</v>
      </c>
      <c r="B461" s="37" t="s">
        <v>565</v>
      </c>
      <c r="C461" s="94" t="s">
        <v>43</v>
      </c>
      <c r="D461" s="25" t="s">
        <v>91</v>
      </c>
      <c r="E461" s="27" t="s">
        <v>40</v>
      </c>
      <c r="F461" s="25" t="s">
        <v>48</v>
      </c>
      <c r="G461" s="28">
        <v>2</v>
      </c>
      <c r="H461" s="28">
        <v>2</v>
      </c>
      <c r="I461" s="29">
        <v>1027</v>
      </c>
      <c r="J461" s="29">
        <v>611.51</v>
      </c>
      <c r="K461" s="29">
        <v>611.51</v>
      </c>
      <c r="L461" s="30">
        <v>29</v>
      </c>
      <c r="M461" s="31">
        <f>SUM(N461:Q461)</f>
        <v>1746872.91</v>
      </c>
      <c r="N461" s="29">
        <v>0</v>
      </c>
      <c r="O461" s="29">
        <v>0</v>
      </c>
      <c r="P461" s="29">
        <v>0</v>
      </c>
      <c r="Q461" s="29">
        <f>'Таблица 3 '!C451</f>
        <v>1746872.91</v>
      </c>
      <c r="R461" s="29">
        <f>Q461</f>
        <v>1746872.91</v>
      </c>
      <c r="S461" s="29">
        <v>0</v>
      </c>
      <c r="T461" s="32">
        <f t="shared" si="95"/>
        <v>2856.6546908472469</v>
      </c>
      <c r="U461" s="83">
        <f t="shared" si="96"/>
        <v>2856.6546908472469</v>
      </c>
      <c r="V461" s="33" t="s">
        <v>45</v>
      </c>
      <c r="W461" s="23"/>
      <c r="X461" s="23"/>
      <c r="Y461" s="23"/>
      <c r="Z461" s="23"/>
      <c r="AA461" s="23"/>
      <c r="AB461" s="23"/>
      <c r="AC461" s="23"/>
      <c r="AD461" s="23"/>
      <c r="AE461" s="23"/>
      <c r="AF461" s="23"/>
      <c r="AG461" s="23"/>
      <c r="AH461" s="23"/>
      <c r="AI461" s="23"/>
      <c r="AJ461" s="23"/>
      <c r="AK461" s="23"/>
      <c r="AL461" s="23"/>
      <c r="AM461" s="23"/>
      <c r="AN461" s="23"/>
      <c r="AO461" s="23"/>
      <c r="AP461" s="23"/>
      <c r="AQ461" s="23"/>
      <c r="AR461" s="23"/>
      <c r="AS461" s="23"/>
      <c r="AT461" s="23"/>
      <c r="AU461" s="23"/>
      <c r="AV461" s="23"/>
      <c r="AW461" s="23"/>
      <c r="AX461" s="23"/>
      <c r="AY461" s="23"/>
      <c r="AZ461" s="23"/>
      <c r="BA461" s="23"/>
      <c r="BB461" s="23"/>
      <c r="BC461" s="23"/>
      <c r="BD461" s="23"/>
      <c r="BE461" s="23"/>
      <c r="BF461" s="23"/>
      <c r="BG461" s="23"/>
      <c r="BH461" s="23"/>
      <c r="BI461" s="23"/>
      <c r="BJ461" s="23"/>
      <c r="BK461" s="23"/>
      <c r="BL461" s="23"/>
      <c r="BM461" s="23"/>
      <c r="BN461" s="23"/>
      <c r="BO461" s="23"/>
      <c r="BP461" s="23"/>
      <c r="BQ461" s="23"/>
      <c r="BR461" s="23"/>
      <c r="BS461" s="23"/>
      <c r="BT461" s="23"/>
      <c r="BU461" s="23"/>
      <c r="BV461" s="23"/>
      <c r="BW461" s="23"/>
      <c r="BX461" s="23"/>
      <c r="BY461" s="23"/>
      <c r="BZ461" s="23"/>
      <c r="CA461" s="23"/>
      <c r="CB461" s="23"/>
      <c r="CC461" s="23"/>
      <c r="CD461" s="23"/>
      <c r="CE461" s="23"/>
      <c r="CF461" s="23"/>
      <c r="CG461" s="23"/>
      <c r="CH461" s="23"/>
      <c r="CI461" s="23"/>
      <c r="CJ461" s="23"/>
      <c r="CK461" s="23"/>
      <c r="CL461" s="23"/>
      <c r="CM461" s="23"/>
      <c r="CN461" s="23"/>
      <c r="CO461" s="23"/>
      <c r="CP461" s="23"/>
      <c r="CQ461" s="23"/>
      <c r="CR461" s="23"/>
    </row>
    <row r="462" spans="1:96" s="44" customFormat="1" ht="44.25" customHeight="1" x14ac:dyDescent="0.25">
      <c r="A462" s="25">
        <v>2</v>
      </c>
      <c r="B462" s="37" t="s">
        <v>566</v>
      </c>
      <c r="C462" s="94" t="s">
        <v>43</v>
      </c>
      <c r="D462" s="25" t="s">
        <v>91</v>
      </c>
      <c r="E462" s="27" t="s">
        <v>40</v>
      </c>
      <c r="F462" s="25" t="s">
        <v>48</v>
      </c>
      <c r="G462" s="28">
        <v>2</v>
      </c>
      <c r="H462" s="28">
        <v>2</v>
      </c>
      <c r="I462" s="29">
        <v>1030</v>
      </c>
      <c r="J462" s="29">
        <v>612.6</v>
      </c>
      <c r="K462" s="29">
        <v>578.70000000000005</v>
      </c>
      <c r="L462" s="30">
        <v>26</v>
      </c>
      <c r="M462" s="31">
        <f t="shared" si="102"/>
        <v>1684612.8</v>
      </c>
      <c r="N462" s="29">
        <v>0</v>
      </c>
      <c r="O462" s="29">
        <v>0</v>
      </c>
      <c r="P462" s="29">
        <v>0</v>
      </c>
      <c r="Q462" s="29">
        <f>'Таблица 3 '!C452</f>
        <v>1684612.8</v>
      </c>
      <c r="R462" s="29">
        <f t="shared" si="103"/>
        <v>1684612.8</v>
      </c>
      <c r="S462" s="29">
        <v>0</v>
      </c>
      <c r="T462" s="32">
        <f t="shared" si="95"/>
        <v>2749.9392752203721</v>
      </c>
      <c r="U462" s="83">
        <f t="shared" si="96"/>
        <v>2749.9392752203721</v>
      </c>
      <c r="V462" s="33" t="s">
        <v>45</v>
      </c>
      <c r="W462" s="23"/>
      <c r="X462" s="23"/>
      <c r="Y462" s="23"/>
      <c r="Z462" s="23"/>
      <c r="AA462" s="23"/>
      <c r="AB462" s="23"/>
      <c r="AC462" s="23"/>
      <c r="AD462" s="23"/>
      <c r="AE462" s="23"/>
      <c r="AF462" s="23"/>
      <c r="AG462" s="23"/>
      <c r="AH462" s="23"/>
      <c r="AI462" s="23"/>
      <c r="AJ462" s="23"/>
      <c r="AK462" s="23"/>
      <c r="AL462" s="23"/>
      <c r="AM462" s="23"/>
      <c r="AN462" s="23"/>
      <c r="AO462" s="23"/>
      <c r="AP462" s="23"/>
      <c r="AQ462" s="23"/>
      <c r="AR462" s="23"/>
      <c r="AS462" s="23"/>
      <c r="AT462" s="23"/>
      <c r="AU462" s="23"/>
      <c r="AV462" s="23"/>
      <c r="AW462" s="23"/>
      <c r="AX462" s="23"/>
      <c r="AY462" s="23"/>
      <c r="AZ462" s="23"/>
      <c r="BA462" s="23"/>
      <c r="BB462" s="23"/>
      <c r="BC462" s="23"/>
      <c r="BD462" s="23"/>
      <c r="BE462" s="23"/>
      <c r="BF462" s="23"/>
      <c r="BG462" s="23"/>
      <c r="BH462" s="23"/>
      <c r="BI462" s="23"/>
      <c r="BJ462" s="23"/>
      <c r="BK462" s="23"/>
      <c r="BL462" s="23"/>
      <c r="BM462" s="23"/>
      <c r="BN462" s="23"/>
      <c r="BO462" s="23"/>
      <c r="BP462" s="23"/>
      <c r="BQ462" s="23"/>
      <c r="BR462" s="23"/>
      <c r="BS462" s="23"/>
      <c r="BT462" s="23"/>
      <c r="BU462" s="23"/>
      <c r="BV462" s="23"/>
      <c r="BW462" s="23"/>
      <c r="BX462" s="23"/>
      <c r="BY462" s="23"/>
      <c r="BZ462" s="23"/>
      <c r="CA462" s="23"/>
      <c r="CB462" s="23"/>
      <c r="CC462" s="23"/>
      <c r="CD462" s="23"/>
      <c r="CE462" s="23"/>
      <c r="CF462" s="23"/>
      <c r="CG462" s="23"/>
      <c r="CH462" s="23"/>
      <c r="CI462" s="23"/>
      <c r="CJ462" s="23"/>
      <c r="CK462" s="23"/>
      <c r="CL462" s="23"/>
      <c r="CM462" s="23"/>
      <c r="CN462" s="23"/>
      <c r="CO462" s="23"/>
      <c r="CP462" s="23"/>
      <c r="CQ462" s="23"/>
      <c r="CR462" s="23"/>
    </row>
    <row r="463" spans="1:96" s="101" customFormat="1" ht="22.15" customHeight="1" x14ac:dyDescent="0.25">
      <c r="A463" s="14"/>
      <c r="B463" s="14" t="s">
        <v>567</v>
      </c>
      <c r="C463" s="14"/>
      <c r="D463" s="14"/>
      <c r="E463" s="102"/>
      <c r="F463" s="14"/>
      <c r="G463" s="103"/>
      <c r="H463" s="103"/>
      <c r="I463" s="104"/>
      <c r="J463" s="104"/>
      <c r="K463" s="104"/>
      <c r="L463" s="105"/>
      <c r="M463" s="104"/>
      <c r="N463" s="104"/>
      <c r="O463" s="104"/>
      <c r="P463" s="104"/>
      <c r="Q463" s="104"/>
      <c r="R463" s="104"/>
      <c r="S463" s="104"/>
      <c r="T463" s="106"/>
      <c r="U463" s="106"/>
      <c r="V463" s="107"/>
    </row>
    <row r="464" spans="1:96" s="23" customFormat="1" ht="25.15" customHeight="1" x14ac:dyDescent="0.2">
      <c r="A464" s="322" t="s">
        <v>38</v>
      </c>
      <c r="B464" s="322"/>
      <c r="C464" s="18" t="s">
        <v>40</v>
      </c>
      <c r="D464" s="18" t="s">
        <v>40</v>
      </c>
      <c r="E464" s="19" t="s">
        <v>40</v>
      </c>
      <c r="F464" s="18" t="s">
        <v>40</v>
      </c>
      <c r="G464" s="20" t="s">
        <v>40</v>
      </c>
      <c r="H464" s="20" t="s">
        <v>40</v>
      </c>
      <c r="I464" s="21">
        <f t="shared" ref="I464:S464" si="111">I465+I637+I639+I643+I652+I662+I667+I674+I678+I681+I697+I701+I703+I706+I709+I717+I741+I748+I757+I762+I765+I767+I771+I780+I799+I801</f>
        <v>1031990.2799999998</v>
      </c>
      <c r="J464" s="21">
        <f t="shared" si="111"/>
        <v>898167.48000000021</v>
      </c>
      <c r="K464" s="21">
        <f t="shared" si="111"/>
        <v>725004.99</v>
      </c>
      <c r="L464" s="22">
        <f t="shared" si="111"/>
        <v>29899</v>
      </c>
      <c r="M464" s="21">
        <f t="shared" si="111"/>
        <v>3217490971.4470401</v>
      </c>
      <c r="N464" s="21">
        <f t="shared" si="111"/>
        <v>0</v>
      </c>
      <c r="O464" s="21">
        <f t="shared" si="111"/>
        <v>0</v>
      </c>
      <c r="P464" s="21">
        <f t="shared" si="111"/>
        <v>0</v>
      </c>
      <c r="Q464" s="21">
        <f t="shared" si="111"/>
        <v>3217490971.4470401</v>
      </c>
      <c r="R464" s="21">
        <f t="shared" si="111"/>
        <v>3217490971.4470401</v>
      </c>
      <c r="S464" s="21">
        <f t="shared" si="111"/>
        <v>1</v>
      </c>
      <c r="T464" s="24" t="s">
        <v>40</v>
      </c>
      <c r="U464" s="24" t="s">
        <v>40</v>
      </c>
      <c r="V464" s="20" t="s">
        <v>40</v>
      </c>
    </row>
    <row r="465" spans="1:22" s="23" customFormat="1" ht="21" customHeight="1" x14ac:dyDescent="0.2">
      <c r="A465" s="322" t="s">
        <v>41</v>
      </c>
      <c r="B465" s="322"/>
      <c r="C465" s="18" t="s">
        <v>39</v>
      </c>
      <c r="D465" s="18" t="s">
        <v>40</v>
      </c>
      <c r="E465" s="19" t="s">
        <v>40</v>
      </c>
      <c r="F465" s="18" t="s">
        <v>40</v>
      </c>
      <c r="G465" s="20" t="s">
        <v>40</v>
      </c>
      <c r="H465" s="20" t="s">
        <v>40</v>
      </c>
      <c r="I465" s="21">
        <f t="shared" ref="I465:S465" si="112">SUM(I466:I636)</f>
        <v>696978.03999999992</v>
      </c>
      <c r="J465" s="21">
        <f t="shared" si="112"/>
        <v>620283.48</v>
      </c>
      <c r="K465" s="21">
        <f t="shared" si="112"/>
        <v>541281.08999999985</v>
      </c>
      <c r="L465" s="22">
        <f t="shared" si="112"/>
        <v>19926</v>
      </c>
      <c r="M465" s="21">
        <f t="shared" si="112"/>
        <v>2011567326.3200004</v>
      </c>
      <c r="N465" s="21">
        <f t="shared" si="112"/>
        <v>0</v>
      </c>
      <c r="O465" s="21">
        <f t="shared" si="112"/>
        <v>0</v>
      </c>
      <c r="P465" s="21">
        <f t="shared" si="112"/>
        <v>0</v>
      </c>
      <c r="Q465" s="21">
        <f t="shared" si="112"/>
        <v>2011567326.3200004</v>
      </c>
      <c r="R465" s="21">
        <f t="shared" si="112"/>
        <v>2011567326.3200004</v>
      </c>
      <c r="S465" s="21">
        <f t="shared" si="112"/>
        <v>0</v>
      </c>
      <c r="T465" s="24" t="s">
        <v>40</v>
      </c>
      <c r="U465" s="24" t="s">
        <v>40</v>
      </c>
      <c r="V465" s="20" t="s">
        <v>40</v>
      </c>
    </row>
    <row r="466" spans="1:22" s="23" customFormat="1" ht="42.75" customHeight="1" x14ac:dyDescent="0.25">
      <c r="A466" s="25">
        <v>1</v>
      </c>
      <c r="B466" s="34" t="s">
        <v>568</v>
      </c>
      <c r="C466" s="25" t="s">
        <v>43</v>
      </c>
      <c r="D466" s="27">
        <v>1971</v>
      </c>
      <c r="E466" s="27" t="s">
        <v>39</v>
      </c>
      <c r="F466" s="25" t="s">
        <v>44</v>
      </c>
      <c r="G466" s="28">
        <v>5</v>
      </c>
      <c r="H466" s="28">
        <v>4</v>
      </c>
      <c r="I466" s="29">
        <v>3387.4</v>
      </c>
      <c r="J466" s="29">
        <v>3357.8</v>
      </c>
      <c r="K466" s="29">
        <v>3209</v>
      </c>
      <c r="L466" s="30">
        <v>159</v>
      </c>
      <c r="M466" s="31">
        <f t="shared" ref="M466:M529" si="113">SUM(N466:Q466)</f>
        <v>9765558.4700000007</v>
      </c>
      <c r="N466" s="29">
        <v>0</v>
      </c>
      <c r="O466" s="29">
        <v>0</v>
      </c>
      <c r="P466" s="29">
        <v>0</v>
      </c>
      <c r="Q466" s="32">
        <f>'Таблица 3 '!C456</f>
        <v>9765558.4700000007</v>
      </c>
      <c r="R466" s="29">
        <f t="shared" ref="R466:R529" si="114">Q466</f>
        <v>9765558.4700000007</v>
      </c>
      <c r="S466" s="29">
        <v>0</v>
      </c>
      <c r="T466" s="29">
        <f t="shared" si="95"/>
        <v>2908.3204687593066</v>
      </c>
      <c r="U466" s="29">
        <f t="shared" si="96"/>
        <v>2908.3204687593066</v>
      </c>
      <c r="V466" s="33" t="s">
        <v>569</v>
      </c>
    </row>
    <row r="467" spans="1:22" s="23" customFormat="1" ht="42.75" customHeight="1" x14ac:dyDescent="0.25">
      <c r="A467" s="25">
        <v>2</v>
      </c>
      <c r="B467" s="34" t="s">
        <v>570</v>
      </c>
      <c r="C467" s="25" t="s">
        <v>43</v>
      </c>
      <c r="D467" s="27" t="s">
        <v>152</v>
      </c>
      <c r="E467" s="27" t="s">
        <v>39</v>
      </c>
      <c r="F467" s="25" t="s">
        <v>384</v>
      </c>
      <c r="G467" s="28">
        <v>5</v>
      </c>
      <c r="H467" s="28">
        <v>4</v>
      </c>
      <c r="I467" s="29">
        <v>3865.6</v>
      </c>
      <c r="J467" s="29">
        <v>3865.1</v>
      </c>
      <c r="K467" s="29">
        <v>3729.5</v>
      </c>
      <c r="L467" s="30">
        <v>22</v>
      </c>
      <c r="M467" s="31">
        <f t="shared" si="113"/>
        <v>20890853.77</v>
      </c>
      <c r="N467" s="29">
        <v>0</v>
      </c>
      <c r="O467" s="29">
        <v>0</v>
      </c>
      <c r="P467" s="29">
        <v>0</v>
      </c>
      <c r="Q467" s="32">
        <f>'Таблица 3 '!C457</f>
        <v>20890853.77</v>
      </c>
      <c r="R467" s="29">
        <f t="shared" si="114"/>
        <v>20890853.77</v>
      </c>
      <c r="S467" s="29">
        <v>0</v>
      </c>
      <c r="T467" s="29">
        <f t="shared" si="95"/>
        <v>5404.9969651496731</v>
      </c>
      <c r="U467" s="29">
        <f t="shared" si="96"/>
        <v>5404.9969651496731</v>
      </c>
      <c r="V467" s="33" t="s">
        <v>569</v>
      </c>
    </row>
    <row r="468" spans="1:22" s="23" customFormat="1" ht="42.75" customHeight="1" x14ac:dyDescent="0.25">
      <c r="A468" s="25">
        <v>3</v>
      </c>
      <c r="B468" s="34" t="s">
        <v>49</v>
      </c>
      <c r="C468" s="25" t="s">
        <v>43</v>
      </c>
      <c r="D468" s="27">
        <v>1961</v>
      </c>
      <c r="E468" s="27" t="s">
        <v>50</v>
      </c>
      <c r="F468" s="25" t="s">
        <v>44</v>
      </c>
      <c r="G468" s="28">
        <v>2</v>
      </c>
      <c r="H468" s="28">
        <v>1</v>
      </c>
      <c r="I468" s="29">
        <v>293.60000000000002</v>
      </c>
      <c r="J468" s="29">
        <v>292.10000000000002</v>
      </c>
      <c r="K468" s="29">
        <v>212.2</v>
      </c>
      <c r="L468" s="30">
        <v>22</v>
      </c>
      <c r="M468" s="31">
        <f t="shared" si="113"/>
        <v>452896.73000000004</v>
      </c>
      <c r="N468" s="29">
        <v>0</v>
      </c>
      <c r="O468" s="29">
        <v>0</v>
      </c>
      <c r="P468" s="29">
        <v>0</v>
      </c>
      <c r="Q468" s="32">
        <f>'Таблица 3 '!C458</f>
        <v>452896.73000000004</v>
      </c>
      <c r="R468" s="29">
        <f t="shared" si="114"/>
        <v>452896.73000000004</v>
      </c>
      <c r="S468" s="29">
        <v>0</v>
      </c>
      <c r="T468" s="29">
        <f t="shared" si="95"/>
        <v>1550.4852105443342</v>
      </c>
      <c r="U468" s="29">
        <f t="shared" si="96"/>
        <v>1550.4852105443342</v>
      </c>
      <c r="V468" s="33" t="s">
        <v>569</v>
      </c>
    </row>
    <row r="469" spans="1:22" s="23" customFormat="1" ht="42.75" customHeight="1" x14ac:dyDescent="0.25">
      <c r="A469" s="25">
        <v>4</v>
      </c>
      <c r="B469" s="34" t="s">
        <v>571</v>
      </c>
      <c r="C469" s="25" t="s">
        <v>43</v>
      </c>
      <c r="D469" s="27">
        <v>1972</v>
      </c>
      <c r="E469" s="27" t="s">
        <v>39</v>
      </c>
      <c r="F469" s="25" t="s">
        <v>48</v>
      </c>
      <c r="G469" s="28">
        <v>5</v>
      </c>
      <c r="H469" s="28">
        <v>5</v>
      </c>
      <c r="I469" s="29">
        <v>4453.8999999999996</v>
      </c>
      <c r="J469" s="29">
        <v>4448.1000000000004</v>
      </c>
      <c r="K469" s="29">
        <v>4389.7</v>
      </c>
      <c r="L469" s="30">
        <v>170</v>
      </c>
      <c r="M469" s="31">
        <f t="shared" si="113"/>
        <v>19480545.539999999</v>
      </c>
      <c r="N469" s="29">
        <v>0</v>
      </c>
      <c r="O469" s="29">
        <v>0</v>
      </c>
      <c r="P469" s="29">
        <v>0</v>
      </c>
      <c r="Q469" s="32">
        <f>'Таблица 3 '!C459</f>
        <v>19480545.539999999</v>
      </c>
      <c r="R469" s="29">
        <f t="shared" si="114"/>
        <v>19480545.539999999</v>
      </c>
      <c r="S469" s="29">
        <v>0</v>
      </c>
      <c r="T469" s="29">
        <f t="shared" ref="T469:T532" si="115">M469/J469</f>
        <v>4379.5205908140551</v>
      </c>
      <c r="U469" s="29">
        <f t="shared" ref="U469:U532" si="116">T469</f>
        <v>4379.5205908140551</v>
      </c>
      <c r="V469" s="33" t="s">
        <v>569</v>
      </c>
    </row>
    <row r="470" spans="1:22" s="23" customFormat="1" ht="42.75" customHeight="1" x14ac:dyDescent="0.25">
      <c r="A470" s="25">
        <v>5</v>
      </c>
      <c r="B470" s="26" t="s">
        <v>54</v>
      </c>
      <c r="C470" s="25" t="s">
        <v>43</v>
      </c>
      <c r="D470" s="27">
        <v>1972</v>
      </c>
      <c r="E470" s="27" t="s">
        <v>39</v>
      </c>
      <c r="F470" s="25" t="s">
        <v>48</v>
      </c>
      <c r="G470" s="28">
        <v>5</v>
      </c>
      <c r="H470" s="28">
        <v>4</v>
      </c>
      <c r="I470" s="29">
        <v>3881.6</v>
      </c>
      <c r="J470" s="29">
        <v>3857.9</v>
      </c>
      <c r="K470" s="29">
        <v>3756.7</v>
      </c>
      <c r="L470" s="30">
        <v>189</v>
      </c>
      <c r="M470" s="31">
        <f t="shared" si="113"/>
        <v>350382</v>
      </c>
      <c r="N470" s="29">
        <v>0</v>
      </c>
      <c r="O470" s="29">
        <v>0</v>
      </c>
      <c r="P470" s="29">
        <v>0</v>
      </c>
      <c r="Q470" s="32">
        <f>'Таблица 3 '!C460</f>
        <v>350382</v>
      </c>
      <c r="R470" s="29">
        <f t="shared" si="114"/>
        <v>350382</v>
      </c>
      <c r="S470" s="29">
        <v>0</v>
      </c>
      <c r="T470" s="29">
        <f t="shared" si="115"/>
        <v>90.82194976541642</v>
      </c>
      <c r="U470" s="29">
        <f t="shared" si="116"/>
        <v>90.82194976541642</v>
      </c>
      <c r="V470" s="33" t="s">
        <v>569</v>
      </c>
    </row>
    <row r="471" spans="1:22" s="23" customFormat="1" ht="42.75" customHeight="1" x14ac:dyDescent="0.25">
      <c r="A471" s="25">
        <v>6</v>
      </c>
      <c r="B471" s="26" t="s">
        <v>62</v>
      </c>
      <c r="C471" s="25" t="s">
        <v>43</v>
      </c>
      <c r="D471" s="25">
        <v>1978</v>
      </c>
      <c r="E471" s="27" t="s">
        <v>63</v>
      </c>
      <c r="F471" s="25" t="s">
        <v>48</v>
      </c>
      <c r="G471" s="28">
        <v>5</v>
      </c>
      <c r="H471" s="28">
        <v>5</v>
      </c>
      <c r="I471" s="29">
        <v>3582.4</v>
      </c>
      <c r="J471" s="29">
        <v>3595.6</v>
      </c>
      <c r="K471" s="29">
        <v>3413.1</v>
      </c>
      <c r="L471" s="30">
        <v>190</v>
      </c>
      <c r="M471" s="31">
        <f t="shared" si="113"/>
        <v>19108256.010000002</v>
      </c>
      <c r="N471" s="29">
        <v>0</v>
      </c>
      <c r="O471" s="29">
        <v>0</v>
      </c>
      <c r="P471" s="29">
        <v>0</v>
      </c>
      <c r="Q471" s="32">
        <f>'Таблица 3 '!C461</f>
        <v>19108256.010000002</v>
      </c>
      <c r="R471" s="29">
        <f t="shared" si="114"/>
        <v>19108256.010000002</v>
      </c>
      <c r="S471" s="29">
        <v>0</v>
      </c>
      <c r="T471" s="29">
        <f t="shared" si="115"/>
        <v>5314.3442012459682</v>
      </c>
      <c r="U471" s="29">
        <f t="shared" si="116"/>
        <v>5314.3442012459682</v>
      </c>
      <c r="V471" s="33" t="s">
        <v>569</v>
      </c>
    </row>
    <row r="472" spans="1:22" s="23" customFormat="1" ht="42.75" customHeight="1" x14ac:dyDescent="0.25">
      <c r="A472" s="25">
        <v>7</v>
      </c>
      <c r="B472" s="26" t="s">
        <v>64</v>
      </c>
      <c r="C472" s="25" t="s">
        <v>43</v>
      </c>
      <c r="D472" s="25">
        <v>1976</v>
      </c>
      <c r="E472" s="27" t="s">
        <v>39</v>
      </c>
      <c r="F472" s="25" t="s">
        <v>48</v>
      </c>
      <c r="G472" s="28">
        <v>5</v>
      </c>
      <c r="H472" s="28">
        <v>6</v>
      </c>
      <c r="I472" s="32">
        <v>4485.8999999999996</v>
      </c>
      <c r="J472" s="32">
        <v>4380.2</v>
      </c>
      <c r="K472" s="32">
        <v>4278</v>
      </c>
      <c r="L472" s="35">
        <v>204</v>
      </c>
      <c r="M472" s="31">
        <f t="shared" si="113"/>
        <v>26260361.970000003</v>
      </c>
      <c r="N472" s="29">
        <v>0</v>
      </c>
      <c r="O472" s="29">
        <v>0</v>
      </c>
      <c r="P472" s="29">
        <v>0</v>
      </c>
      <c r="Q472" s="32">
        <f>'Таблица 3 '!C462</f>
        <v>26260361.970000003</v>
      </c>
      <c r="R472" s="29">
        <f t="shared" si="114"/>
        <v>26260361.970000003</v>
      </c>
      <c r="S472" s="32">
        <v>0</v>
      </c>
      <c r="T472" s="29">
        <f t="shared" si="115"/>
        <v>5995.2426761335109</v>
      </c>
      <c r="U472" s="29">
        <f t="shared" si="116"/>
        <v>5995.2426761335109</v>
      </c>
      <c r="V472" s="33" t="s">
        <v>569</v>
      </c>
    </row>
    <row r="473" spans="1:22" s="23" customFormat="1" ht="42.75" customHeight="1" x14ac:dyDescent="0.25">
      <c r="A473" s="25">
        <v>8</v>
      </c>
      <c r="B473" s="26" t="s">
        <v>572</v>
      </c>
      <c r="C473" s="25" t="s">
        <v>43</v>
      </c>
      <c r="D473" s="25">
        <v>1977</v>
      </c>
      <c r="E473" s="27" t="s">
        <v>39</v>
      </c>
      <c r="F473" s="25" t="s">
        <v>48</v>
      </c>
      <c r="G473" s="28">
        <v>5</v>
      </c>
      <c r="H473" s="28">
        <v>6</v>
      </c>
      <c r="I473" s="32">
        <v>4419.5</v>
      </c>
      <c r="J473" s="32">
        <v>4405</v>
      </c>
      <c r="K473" s="32">
        <v>4182.8999999999996</v>
      </c>
      <c r="L473" s="35">
        <v>204</v>
      </c>
      <c r="M473" s="31">
        <f t="shared" si="113"/>
        <v>1236496.1400000001</v>
      </c>
      <c r="N473" s="29">
        <v>0</v>
      </c>
      <c r="O473" s="29">
        <v>0</v>
      </c>
      <c r="P473" s="29">
        <v>0</v>
      </c>
      <c r="Q473" s="32">
        <f>'Таблица 3 '!C463</f>
        <v>1236496.1400000001</v>
      </c>
      <c r="R473" s="29">
        <f t="shared" si="114"/>
        <v>1236496.1400000001</v>
      </c>
      <c r="S473" s="32">
        <v>0</v>
      </c>
      <c r="T473" s="29">
        <f t="shared" si="115"/>
        <v>280.70286946651538</v>
      </c>
      <c r="U473" s="29">
        <f t="shared" si="116"/>
        <v>280.70286946651538</v>
      </c>
      <c r="V473" s="33" t="s">
        <v>569</v>
      </c>
    </row>
    <row r="474" spans="1:22" s="23" customFormat="1" ht="42.75" customHeight="1" x14ac:dyDescent="0.25">
      <c r="A474" s="25">
        <v>9</v>
      </c>
      <c r="B474" s="26" t="s">
        <v>66</v>
      </c>
      <c r="C474" s="25" t="s">
        <v>43</v>
      </c>
      <c r="D474" s="25">
        <v>1988</v>
      </c>
      <c r="E474" s="27" t="s">
        <v>47</v>
      </c>
      <c r="F474" s="25" t="s">
        <v>48</v>
      </c>
      <c r="G474" s="28">
        <v>5</v>
      </c>
      <c r="H474" s="28">
        <v>6</v>
      </c>
      <c r="I474" s="32">
        <v>4502.1000000000004</v>
      </c>
      <c r="J474" s="32">
        <v>4488.3</v>
      </c>
      <c r="K474" s="32">
        <v>4204.2</v>
      </c>
      <c r="L474" s="35">
        <v>220</v>
      </c>
      <c r="M474" s="31">
        <f t="shared" si="113"/>
        <v>6646665.46</v>
      </c>
      <c r="N474" s="29">
        <v>0</v>
      </c>
      <c r="O474" s="29">
        <v>0</v>
      </c>
      <c r="P474" s="29">
        <v>0</v>
      </c>
      <c r="Q474" s="32">
        <f>'Таблица 3 '!C464</f>
        <v>6646665.46</v>
      </c>
      <c r="R474" s="29">
        <f t="shared" si="114"/>
        <v>6646665.46</v>
      </c>
      <c r="S474" s="32">
        <v>0</v>
      </c>
      <c r="T474" s="29">
        <f t="shared" si="115"/>
        <v>1480.887075284629</v>
      </c>
      <c r="U474" s="29">
        <f t="shared" si="116"/>
        <v>1480.887075284629</v>
      </c>
      <c r="V474" s="33" t="s">
        <v>569</v>
      </c>
    </row>
    <row r="475" spans="1:22" s="23" customFormat="1" ht="42.75" customHeight="1" x14ac:dyDescent="0.25">
      <c r="A475" s="25">
        <v>10</v>
      </c>
      <c r="B475" s="26" t="s">
        <v>573</v>
      </c>
      <c r="C475" s="25" t="s">
        <v>43</v>
      </c>
      <c r="D475" s="27" t="s">
        <v>182</v>
      </c>
      <c r="E475" s="27" t="s">
        <v>39</v>
      </c>
      <c r="F475" s="25" t="s">
        <v>48</v>
      </c>
      <c r="G475" s="28">
        <v>5</v>
      </c>
      <c r="H475" s="28">
        <v>4</v>
      </c>
      <c r="I475" s="29">
        <v>4730.8999999999996</v>
      </c>
      <c r="J475" s="29">
        <v>4528.8999999999996</v>
      </c>
      <c r="K475" s="29">
        <v>4099.6000000000004</v>
      </c>
      <c r="L475" s="30">
        <v>149</v>
      </c>
      <c r="M475" s="31">
        <f t="shared" si="113"/>
        <v>9521617.9900000002</v>
      </c>
      <c r="N475" s="29">
        <v>0</v>
      </c>
      <c r="O475" s="29">
        <v>0</v>
      </c>
      <c r="P475" s="29">
        <v>0</v>
      </c>
      <c r="Q475" s="32">
        <f>'Таблица 3 '!C465</f>
        <v>9521617.9900000002</v>
      </c>
      <c r="R475" s="29">
        <f t="shared" si="114"/>
        <v>9521617.9900000002</v>
      </c>
      <c r="S475" s="29">
        <v>0</v>
      </c>
      <c r="T475" s="29">
        <f t="shared" si="115"/>
        <v>2102.412945748416</v>
      </c>
      <c r="U475" s="29">
        <f t="shared" si="116"/>
        <v>2102.412945748416</v>
      </c>
      <c r="V475" s="33" t="s">
        <v>569</v>
      </c>
    </row>
    <row r="476" spans="1:22" s="23" customFormat="1" ht="42.75" customHeight="1" x14ac:dyDescent="0.25">
      <c r="A476" s="25">
        <v>11</v>
      </c>
      <c r="B476" s="26" t="s">
        <v>71</v>
      </c>
      <c r="C476" s="25" t="s">
        <v>43</v>
      </c>
      <c r="D476" s="27">
        <v>1996</v>
      </c>
      <c r="E476" s="27" t="s">
        <v>47</v>
      </c>
      <c r="F476" s="25" t="s">
        <v>48</v>
      </c>
      <c r="G476" s="28">
        <v>5</v>
      </c>
      <c r="H476" s="28">
        <v>2</v>
      </c>
      <c r="I476" s="29">
        <v>3235.8</v>
      </c>
      <c r="J476" s="29">
        <v>2361.9</v>
      </c>
      <c r="K476" s="29">
        <v>2031</v>
      </c>
      <c r="L476" s="30">
        <v>89</v>
      </c>
      <c r="M476" s="31">
        <f t="shared" si="113"/>
        <v>5223151.38</v>
      </c>
      <c r="N476" s="29">
        <v>0</v>
      </c>
      <c r="O476" s="29">
        <v>0</v>
      </c>
      <c r="P476" s="29">
        <v>0</v>
      </c>
      <c r="Q476" s="32">
        <f>'Таблица 3 '!C466</f>
        <v>5223151.38</v>
      </c>
      <c r="R476" s="29">
        <f t="shared" si="114"/>
        <v>5223151.38</v>
      </c>
      <c r="S476" s="29">
        <v>0</v>
      </c>
      <c r="T476" s="29">
        <f t="shared" si="115"/>
        <v>2211.4193572970912</v>
      </c>
      <c r="U476" s="29">
        <f t="shared" si="116"/>
        <v>2211.4193572970912</v>
      </c>
      <c r="V476" s="33" t="s">
        <v>569</v>
      </c>
    </row>
    <row r="477" spans="1:22" s="23" customFormat="1" ht="42.75" customHeight="1" x14ac:dyDescent="0.25">
      <c r="A477" s="25">
        <v>12</v>
      </c>
      <c r="B477" s="26" t="s">
        <v>73</v>
      </c>
      <c r="C477" s="25" t="s">
        <v>43</v>
      </c>
      <c r="D477" s="25">
        <v>1989</v>
      </c>
      <c r="E477" s="27" t="s">
        <v>70</v>
      </c>
      <c r="F477" s="25" t="s">
        <v>48</v>
      </c>
      <c r="G477" s="28">
        <v>5</v>
      </c>
      <c r="H477" s="28">
        <v>4</v>
      </c>
      <c r="I477" s="29">
        <v>2903.3</v>
      </c>
      <c r="J477" s="29">
        <v>2900.5</v>
      </c>
      <c r="K477" s="29">
        <v>2235.8000000000002</v>
      </c>
      <c r="L477" s="30">
        <v>67</v>
      </c>
      <c r="M477" s="31">
        <f t="shared" si="113"/>
        <v>3615933.57</v>
      </c>
      <c r="N477" s="29">
        <v>0</v>
      </c>
      <c r="O477" s="29">
        <v>0</v>
      </c>
      <c r="P477" s="29">
        <v>0</v>
      </c>
      <c r="Q477" s="32">
        <f>'Таблица 3 '!C467</f>
        <v>3615933.57</v>
      </c>
      <c r="R477" s="29">
        <f t="shared" si="114"/>
        <v>3615933.57</v>
      </c>
      <c r="S477" s="29">
        <v>0</v>
      </c>
      <c r="T477" s="29">
        <f t="shared" si="115"/>
        <v>1246.6587036717806</v>
      </c>
      <c r="U477" s="29">
        <f t="shared" si="116"/>
        <v>1246.6587036717806</v>
      </c>
      <c r="V477" s="33" t="s">
        <v>569</v>
      </c>
    </row>
    <row r="478" spans="1:22" s="23" customFormat="1" ht="42.75" customHeight="1" x14ac:dyDescent="0.25">
      <c r="A478" s="25">
        <v>13</v>
      </c>
      <c r="B478" s="26" t="s">
        <v>574</v>
      </c>
      <c r="C478" s="25" t="s">
        <v>43</v>
      </c>
      <c r="D478" s="25">
        <v>1975</v>
      </c>
      <c r="E478" s="27" t="s">
        <v>39</v>
      </c>
      <c r="F478" s="25" t="s">
        <v>48</v>
      </c>
      <c r="G478" s="28">
        <v>5</v>
      </c>
      <c r="H478" s="28">
        <v>4</v>
      </c>
      <c r="I478" s="29">
        <v>4773.8999999999996</v>
      </c>
      <c r="J478" s="29">
        <v>3711</v>
      </c>
      <c r="K478" s="29">
        <v>3054.5</v>
      </c>
      <c r="L478" s="30">
        <v>82</v>
      </c>
      <c r="M478" s="31">
        <f t="shared" si="113"/>
        <v>6161088.8099999996</v>
      </c>
      <c r="N478" s="29">
        <v>0</v>
      </c>
      <c r="O478" s="29">
        <v>0</v>
      </c>
      <c r="P478" s="29">
        <v>0</v>
      </c>
      <c r="Q478" s="32">
        <f>'Таблица 3 '!C468</f>
        <v>6161088.8099999996</v>
      </c>
      <c r="R478" s="29">
        <f t="shared" si="114"/>
        <v>6161088.8099999996</v>
      </c>
      <c r="S478" s="29">
        <v>0</v>
      </c>
      <c r="T478" s="29">
        <f t="shared" si="115"/>
        <v>1660.2233387227161</v>
      </c>
      <c r="U478" s="29">
        <f t="shared" si="116"/>
        <v>1660.2233387227161</v>
      </c>
      <c r="V478" s="33" t="s">
        <v>569</v>
      </c>
    </row>
    <row r="479" spans="1:22" s="23" customFormat="1" ht="42.75" customHeight="1" x14ac:dyDescent="0.25">
      <c r="A479" s="25">
        <v>14</v>
      </c>
      <c r="B479" s="26" t="s">
        <v>74</v>
      </c>
      <c r="C479" s="25" t="s">
        <v>43</v>
      </c>
      <c r="D479" s="25">
        <v>1978</v>
      </c>
      <c r="E479" s="27" t="s">
        <v>39</v>
      </c>
      <c r="F479" s="25" t="s">
        <v>48</v>
      </c>
      <c r="G479" s="28">
        <v>5</v>
      </c>
      <c r="H479" s="28">
        <v>4</v>
      </c>
      <c r="I479" s="29">
        <v>4751.6000000000004</v>
      </c>
      <c r="J479" s="29">
        <v>3671.1</v>
      </c>
      <c r="K479" s="29">
        <v>2923.5</v>
      </c>
      <c r="L479" s="30">
        <v>81</v>
      </c>
      <c r="M479" s="31">
        <f t="shared" si="113"/>
        <v>8717963.0800000001</v>
      </c>
      <c r="N479" s="29">
        <v>0</v>
      </c>
      <c r="O479" s="29">
        <v>0</v>
      </c>
      <c r="P479" s="29">
        <v>0</v>
      </c>
      <c r="Q479" s="32">
        <f>'Таблица 3 '!C469</f>
        <v>8717963.0800000001</v>
      </c>
      <c r="R479" s="29">
        <f t="shared" si="114"/>
        <v>8717963.0800000001</v>
      </c>
      <c r="S479" s="29">
        <v>0</v>
      </c>
      <c r="T479" s="29">
        <f t="shared" si="115"/>
        <v>2374.754999863801</v>
      </c>
      <c r="U479" s="29">
        <f t="shared" si="116"/>
        <v>2374.754999863801</v>
      </c>
      <c r="V479" s="33" t="s">
        <v>569</v>
      </c>
    </row>
    <row r="480" spans="1:22" s="23" customFormat="1" ht="42.75" customHeight="1" x14ac:dyDescent="0.25">
      <c r="A480" s="25">
        <v>15</v>
      </c>
      <c r="B480" s="26" t="s">
        <v>75</v>
      </c>
      <c r="C480" s="25" t="s">
        <v>43</v>
      </c>
      <c r="D480" s="25">
        <v>1974</v>
      </c>
      <c r="E480" s="27" t="s">
        <v>39</v>
      </c>
      <c r="F480" s="25" t="s">
        <v>77</v>
      </c>
      <c r="G480" s="28">
        <v>3</v>
      </c>
      <c r="H480" s="28">
        <v>2</v>
      </c>
      <c r="I480" s="32">
        <v>1116.4000000000001</v>
      </c>
      <c r="J480" s="32">
        <v>1111.9000000000001</v>
      </c>
      <c r="K480" s="32">
        <v>1070.2</v>
      </c>
      <c r="L480" s="35">
        <v>60</v>
      </c>
      <c r="M480" s="31">
        <f t="shared" si="113"/>
        <v>5563360.04</v>
      </c>
      <c r="N480" s="29">
        <v>0</v>
      </c>
      <c r="O480" s="29">
        <v>0</v>
      </c>
      <c r="P480" s="29">
        <v>0</v>
      </c>
      <c r="Q480" s="32">
        <f>'Таблица 3 '!C470</f>
        <v>5563360.04</v>
      </c>
      <c r="R480" s="29">
        <f t="shared" si="114"/>
        <v>5563360.04</v>
      </c>
      <c r="S480" s="32">
        <v>0</v>
      </c>
      <c r="T480" s="29">
        <f t="shared" si="115"/>
        <v>5003.4715711844583</v>
      </c>
      <c r="U480" s="29">
        <f t="shared" si="116"/>
        <v>5003.4715711844583</v>
      </c>
      <c r="V480" s="33" t="s">
        <v>569</v>
      </c>
    </row>
    <row r="481" spans="1:22" s="23" customFormat="1" ht="42.75" customHeight="1" x14ac:dyDescent="0.25">
      <c r="A481" s="25">
        <v>16</v>
      </c>
      <c r="B481" s="26" t="s">
        <v>76</v>
      </c>
      <c r="C481" s="25" t="s">
        <v>43</v>
      </c>
      <c r="D481" s="25">
        <v>1994</v>
      </c>
      <c r="E481" s="27" t="s">
        <v>39</v>
      </c>
      <c r="F481" s="25" t="s">
        <v>77</v>
      </c>
      <c r="G481" s="28">
        <v>3</v>
      </c>
      <c r="H481" s="28">
        <v>1</v>
      </c>
      <c r="I481" s="32">
        <v>1295.2</v>
      </c>
      <c r="J481" s="32">
        <v>1193</v>
      </c>
      <c r="K481" s="32">
        <v>1193</v>
      </c>
      <c r="L481" s="35">
        <v>54</v>
      </c>
      <c r="M481" s="31">
        <f t="shared" si="113"/>
        <v>22022450.719999999</v>
      </c>
      <c r="N481" s="29">
        <v>0</v>
      </c>
      <c r="O481" s="29">
        <v>0</v>
      </c>
      <c r="P481" s="29">
        <v>0</v>
      </c>
      <c r="Q481" s="32">
        <f>'Таблица 3 '!C471</f>
        <v>22022450.719999999</v>
      </c>
      <c r="R481" s="29">
        <f t="shared" si="114"/>
        <v>22022450.719999999</v>
      </c>
      <c r="S481" s="32">
        <v>0</v>
      </c>
      <c r="T481" s="29">
        <f t="shared" si="115"/>
        <v>18459.723989941322</v>
      </c>
      <c r="U481" s="29">
        <f t="shared" si="116"/>
        <v>18459.723989941322</v>
      </c>
      <c r="V481" s="33" t="s">
        <v>569</v>
      </c>
    </row>
    <row r="482" spans="1:22" s="23" customFormat="1" ht="42.75" customHeight="1" x14ac:dyDescent="0.25">
      <c r="A482" s="25">
        <v>17</v>
      </c>
      <c r="B482" s="26" t="s">
        <v>78</v>
      </c>
      <c r="C482" s="25" t="s">
        <v>43</v>
      </c>
      <c r="D482" s="27" t="s">
        <v>79</v>
      </c>
      <c r="E482" s="27" t="s">
        <v>39</v>
      </c>
      <c r="F482" s="25" t="s">
        <v>44</v>
      </c>
      <c r="G482" s="28">
        <v>3</v>
      </c>
      <c r="H482" s="28">
        <v>2</v>
      </c>
      <c r="I482" s="29">
        <v>1954.7</v>
      </c>
      <c r="J482" s="29">
        <v>1295.5</v>
      </c>
      <c r="K482" s="29">
        <v>1295.5</v>
      </c>
      <c r="L482" s="30">
        <v>23</v>
      </c>
      <c r="M482" s="31">
        <f t="shared" si="113"/>
        <v>8596984.3800000008</v>
      </c>
      <c r="N482" s="29">
        <v>0</v>
      </c>
      <c r="O482" s="29">
        <v>0</v>
      </c>
      <c r="P482" s="29">
        <v>0</v>
      </c>
      <c r="Q482" s="32">
        <f>'Таблица 3 '!C472</f>
        <v>8596984.3800000008</v>
      </c>
      <c r="R482" s="29">
        <f t="shared" si="114"/>
        <v>8596984.3800000008</v>
      </c>
      <c r="S482" s="29">
        <v>0</v>
      </c>
      <c r="T482" s="29">
        <f t="shared" si="115"/>
        <v>6636.0358008490939</v>
      </c>
      <c r="U482" s="29">
        <f t="shared" si="116"/>
        <v>6636.0358008490939</v>
      </c>
      <c r="V482" s="33" t="s">
        <v>569</v>
      </c>
    </row>
    <row r="483" spans="1:22" s="23" customFormat="1" ht="42.75" customHeight="1" x14ac:dyDescent="0.25">
      <c r="A483" s="25">
        <v>18</v>
      </c>
      <c r="B483" s="34" t="s">
        <v>80</v>
      </c>
      <c r="C483" s="25" t="s">
        <v>43</v>
      </c>
      <c r="D483" s="25">
        <v>1989</v>
      </c>
      <c r="E483" s="27" t="s">
        <v>39</v>
      </c>
      <c r="F483" s="25" t="s">
        <v>48</v>
      </c>
      <c r="G483" s="28">
        <v>5</v>
      </c>
      <c r="H483" s="28">
        <v>4</v>
      </c>
      <c r="I483" s="29">
        <v>3947.2</v>
      </c>
      <c r="J483" s="29">
        <v>2813.4</v>
      </c>
      <c r="K483" s="29">
        <v>1975.2</v>
      </c>
      <c r="L483" s="30">
        <v>133</v>
      </c>
      <c r="M483" s="31">
        <f t="shared" si="113"/>
        <v>5772639.0199999996</v>
      </c>
      <c r="N483" s="29">
        <v>0</v>
      </c>
      <c r="O483" s="29">
        <v>0</v>
      </c>
      <c r="P483" s="29">
        <v>0</v>
      </c>
      <c r="Q483" s="32">
        <f>'Таблица 3 '!C473</f>
        <v>5772639.0199999996</v>
      </c>
      <c r="R483" s="29">
        <f t="shared" si="114"/>
        <v>5772639.0199999996</v>
      </c>
      <c r="S483" s="29">
        <v>0</v>
      </c>
      <c r="T483" s="29">
        <f t="shared" si="115"/>
        <v>2051.8372858463067</v>
      </c>
      <c r="U483" s="29">
        <f t="shared" si="116"/>
        <v>2051.8372858463067</v>
      </c>
      <c r="V483" s="33" t="s">
        <v>569</v>
      </c>
    </row>
    <row r="484" spans="1:22" s="23" customFormat="1" ht="42.75" customHeight="1" x14ac:dyDescent="0.25">
      <c r="A484" s="25">
        <v>19</v>
      </c>
      <c r="B484" s="26" t="s">
        <v>575</v>
      </c>
      <c r="C484" s="25" t="s">
        <v>43</v>
      </c>
      <c r="D484" s="25">
        <v>1995</v>
      </c>
      <c r="E484" s="27" t="s">
        <v>50</v>
      </c>
      <c r="F484" s="25" t="s">
        <v>48</v>
      </c>
      <c r="G484" s="28">
        <v>5</v>
      </c>
      <c r="H484" s="28">
        <v>3</v>
      </c>
      <c r="I484" s="29">
        <v>4469.6000000000004</v>
      </c>
      <c r="J484" s="29">
        <v>3261.2</v>
      </c>
      <c r="K484" s="29">
        <v>2605.1</v>
      </c>
      <c r="L484" s="30">
        <v>175</v>
      </c>
      <c r="M484" s="31">
        <f t="shared" si="113"/>
        <v>3978457.8499999996</v>
      </c>
      <c r="N484" s="29">
        <v>0</v>
      </c>
      <c r="O484" s="29">
        <v>0</v>
      </c>
      <c r="P484" s="29">
        <v>0</v>
      </c>
      <c r="Q484" s="32">
        <f>'Таблица 3 '!C474</f>
        <v>3978457.8499999996</v>
      </c>
      <c r="R484" s="29">
        <f t="shared" si="114"/>
        <v>3978457.8499999996</v>
      </c>
      <c r="S484" s="29">
        <v>0</v>
      </c>
      <c r="T484" s="29">
        <f t="shared" si="115"/>
        <v>1219.9367870722433</v>
      </c>
      <c r="U484" s="29">
        <f t="shared" si="116"/>
        <v>1219.9367870722433</v>
      </c>
      <c r="V484" s="33" t="s">
        <v>569</v>
      </c>
    </row>
    <row r="485" spans="1:22" s="23" customFormat="1" ht="42.75" customHeight="1" x14ac:dyDescent="0.25">
      <c r="A485" s="25">
        <v>20</v>
      </c>
      <c r="B485" s="26" t="s">
        <v>82</v>
      </c>
      <c r="C485" s="25" t="s">
        <v>43</v>
      </c>
      <c r="D485" s="25">
        <v>1977</v>
      </c>
      <c r="E485" s="27" t="s">
        <v>39</v>
      </c>
      <c r="F485" s="25" t="s">
        <v>44</v>
      </c>
      <c r="G485" s="28">
        <v>9</v>
      </c>
      <c r="H485" s="28">
        <v>1</v>
      </c>
      <c r="I485" s="29">
        <v>2485.5</v>
      </c>
      <c r="J485" s="29">
        <v>2352.1</v>
      </c>
      <c r="K485" s="29">
        <v>2198.9</v>
      </c>
      <c r="L485" s="30">
        <v>98</v>
      </c>
      <c r="M485" s="31">
        <f t="shared" si="113"/>
        <v>7316505.1899999995</v>
      </c>
      <c r="N485" s="29">
        <v>0</v>
      </c>
      <c r="O485" s="29">
        <v>0</v>
      </c>
      <c r="P485" s="29">
        <v>0</v>
      </c>
      <c r="Q485" s="32">
        <f>'Таблица 3 '!C475</f>
        <v>7316505.1899999995</v>
      </c>
      <c r="R485" s="29">
        <f t="shared" si="114"/>
        <v>7316505.1899999995</v>
      </c>
      <c r="S485" s="29">
        <v>0</v>
      </c>
      <c r="T485" s="29">
        <f t="shared" si="115"/>
        <v>3110.6267548148462</v>
      </c>
      <c r="U485" s="29">
        <f t="shared" si="116"/>
        <v>3110.6267548148462</v>
      </c>
      <c r="V485" s="33" t="s">
        <v>569</v>
      </c>
    </row>
    <row r="486" spans="1:22" s="23" customFormat="1" ht="42.75" customHeight="1" x14ac:dyDescent="0.25">
      <c r="A486" s="25">
        <v>21</v>
      </c>
      <c r="B486" s="26" t="s">
        <v>576</v>
      </c>
      <c r="C486" s="25" t="s">
        <v>43</v>
      </c>
      <c r="D486" s="25">
        <v>1988</v>
      </c>
      <c r="E486" s="27" t="s">
        <v>60</v>
      </c>
      <c r="F486" s="25" t="s">
        <v>48</v>
      </c>
      <c r="G486" s="28">
        <v>9</v>
      </c>
      <c r="H486" s="28">
        <v>12</v>
      </c>
      <c r="I486" s="32">
        <v>21879.4</v>
      </c>
      <c r="J486" s="32">
        <v>21878.9</v>
      </c>
      <c r="K486" s="32">
        <v>20855.8</v>
      </c>
      <c r="L486" s="35">
        <v>855</v>
      </c>
      <c r="M486" s="31">
        <f t="shared" si="113"/>
        <v>2357740</v>
      </c>
      <c r="N486" s="29">
        <v>0</v>
      </c>
      <c r="O486" s="29">
        <v>0</v>
      </c>
      <c r="P486" s="29">
        <v>0</v>
      </c>
      <c r="Q486" s="32">
        <f>'Таблица 3 '!C476</f>
        <v>2357740</v>
      </c>
      <c r="R486" s="29">
        <f t="shared" si="114"/>
        <v>2357740</v>
      </c>
      <c r="S486" s="32">
        <v>0</v>
      </c>
      <c r="T486" s="29">
        <f t="shared" si="115"/>
        <v>107.76318736316725</v>
      </c>
      <c r="U486" s="29">
        <f t="shared" si="116"/>
        <v>107.76318736316725</v>
      </c>
      <c r="V486" s="33" t="s">
        <v>569</v>
      </c>
    </row>
    <row r="487" spans="1:22" s="23" customFormat="1" ht="42.75" customHeight="1" x14ac:dyDescent="0.25">
      <c r="A487" s="25">
        <v>22</v>
      </c>
      <c r="B487" s="37" t="s">
        <v>577</v>
      </c>
      <c r="C487" s="25" t="s">
        <v>43</v>
      </c>
      <c r="D487" s="27" t="s">
        <v>578</v>
      </c>
      <c r="E487" s="27" t="s">
        <v>39</v>
      </c>
      <c r="F487" s="25" t="s">
        <v>48</v>
      </c>
      <c r="G487" s="28">
        <v>10</v>
      </c>
      <c r="H487" s="28">
        <v>4</v>
      </c>
      <c r="I487" s="29">
        <v>11688.6</v>
      </c>
      <c r="J487" s="29">
        <v>9350.9</v>
      </c>
      <c r="K487" s="29" t="s">
        <v>579</v>
      </c>
      <c r="L487" s="30">
        <v>382</v>
      </c>
      <c r="M487" s="31">
        <f t="shared" si="113"/>
        <v>21741160.280000001</v>
      </c>
      <c r="N487" s="29">
        <v>0</v>
      </c>
      <c r="O487" s="29">
        <v>0</v>
      </c>
      <c r="P487" s="29">
        <v>0</v>
      </c>
      <c r="Q487" s="32">
        <f>'Таблица 3 '!C477</f>
        <v>21741160.280000001</v>
      </c>
      <c r="R487" s="29">
        <f t="shared" si="114"/>
        <v>21741160.280000001</v>
      </c>
      <c r="S487" s="29">
        <v>0</v>
      </c>
      <c r="T487" s="29">
        <f t="shared" si="115"/>
        <v>2325.0339838945988</v>
      </c>
      <c r="U487" s="29">
        <f t="shared" si="116"/>
        <v>2325.0339838945988</v>
      </c>
      <c r="V487" s="33" t="s">
        <v>569</v>
      </c>
    </row>
    <row r="488" spans="1:22" s="23" customFormat="1" ht="45" customHeight="1" x14ac:dyDescent="0.25">
      <c r="A488" s="25">
        <v>23</v>
      </c>
      <c r="B488" s="37" t="s">
        <v>580</v>
      </c>
      <c r="C488" s="25" t="s">
        <v>43</v>
      </c>
      <c r="D488" s="27" t="s">
        <v>88</v>
      </c>
      <c r="E488" s="27" t="s">
        <v>39</v>
      </c>
      <c r="F488" s="25" t="s">
        <v>48</v>
      </c>
      <c r="G488" s="28">
        <v>10</v>
      </c>
      <c r="H488" s="28">
        <v>4</v>
      </c>
      <c r="I488" s="29">
        <v>12321.3</v>
      </c>
      <c r="J488" s="29">
        <v>9857</v>
      </c>
      <c r="K488" s="29">
        <v>9857</v>
      </c>
      <c r="L488" s="30">
        <v>391</v>
      </c>
      <c r="M488" s="31">
        <f t="shared" si="113"/>
        <v>21741159.280000001</v>
      </c>
      <c r="N488" s="29">
        <v>0</v>
      </c>
      <c r="O488" s="29">
        <v>0</v>
      </c>
      <c r="P488" s="29">
        <v>0</v>
      </c>
      <c r="Q488" s="32">
        <f>'Таблица 3 '!C478</f>
        <v>21741159.280000001</v>
      </c>
      <c r="R488" s="29">
        <f t="shared" si="114"/>
        <v>21741159.280000001</v>
      </c>
      <c r="S488" s="29">
        <v>0</v>
      </c>
      <c r="T488" s="29">
        <f t="shared" si="115"/>
        <v>2205.6568205336312</v>
      </c>
      <c r="U488" s="29">
        <f t="shared" si="116"/>
        <v>2205.6568205336312</v>
      </c>
      <c r="V488" s="33" t="s">
        <v>569</v>
      </c>
    </row>
    <row r="489" spans="1:22" s="23" customFormat="1" ht="42.75" customHeight="1" x14ac:dyDescent="0.25">
      <c r="A489" s="25">
        <v>24</v>
      </c>
      <c r="B489" s="26" t="s">
        <v>581</v>
      </c>
      <c r="C489" s="25" t="s">
        <v>43</v>
      </c>
      <c r="D489" s="25">
        <v>1990</v>
      </c>
      <c r="E489" s="27" t="s">
        <v>39</v>
      </c>
      <c r="F489" s="25" t="s">
        <v>44</v>
      </c>
      <c r="G489" s="28">
        <v>2</v>
      </c>
      <c r="H489" s="28">
        <v>1</v>
      </c>
      <c r="I489" s="29">
        <v>835.8</v>
      </c>
      <c r="J489" s="29">
        <v>517.29999999999995</v>
      </c>
      <c r="K489" s="29">
        <v>517.29999999999995</v>
      </c>
      <c r="L489" s="30">
        <v>25</v>
      </c>
      <c r="M489" s="31">
        <f t="shared" si="113"/>
        <v>3384916.5900000003</v>
      </c>
      <c r="N489" s="29">
        <v>0</v>
      </c>
      <c r="O489" s="29">
        <v>0</v>
      </c>
      <c r="P489" s="29">
        <v>0</v>
      </c>
      <c r="Q489" s="32">
        <f>'Таблица 3 '!C479</f>
        <v>3384916.5900000003</v>
      </c>
      <c r="R489" s="29">
        <f t="shared" si="114"/>
        <v>3384916.5900000003</v>
      </c>
      <c r="S489" s="29">
        <v>0</v>
      </c>
      <c r="T489" s="29">
        <f t="shared" si="115"/>
        <v>6543.4304852116775</v>
      </c>
      <c r="U489" s="29">
        <f t="shared" si="116"/>
        <v>6543.4304852116775</v>
      </c>
      <c r="V489" s="33" t="s">
        <v>569</v>
      </c>
    </row>
    <row r="490" spans="1:22" s="23" customFormat="1" ht="42.75" customHeight="1" x14ac:dyDescent="0.25">
      <c r="A490" s="25">
        <v>25</v>
      </c>
      <c r="B490" s="26" t="s">
        <v>94</v>
      </c>
      <c r="C490" s="25" t="s">
        <v>43</v>
      </c>
      <c r="D490" s="25">
        <v>1991</v>
      </c>
      <c r="E490" s="27" t="s">
        <v>39</v>
      </c>
      <c r="F490" s="25" t="s">
        <v>48</v>
      </c>
      <c r="G490" s="28">
        <v>10</v>
      </c>
      <c r="H490" s="28">
        <v>3</v>
      </c>
      <c r="I490" s="29">
        <v>7213.2</v>
      </c>
      <c r="J490" s="29">
        <v>5771.4</v>
      </c>
      <c r="K490" s="29">
        <v>0</v>
      </c>
      <c r="L490" s="30">
        <v>20</v>
      </c>
      <c r="M490" s="31">
        <f t="shared" si="113"/>
        <v>14295096.01</v>
      </c>
      <c r="N490" s="29">
        <v>0</v>
      </c>
      <c r="O490" s="29">
        <v>0</v>
      </c>
      <c r="P490" s="29">
        <v>0</v>
      </c>
      <c r="Q490" s="32">
        <f>'Таблица 3 '!C480</f>
        <v>14295096.01</v>
      </c>
      <c r="R490" s="29">
        <f t="shared" si="114"/>
        <v>14295096.01</v>
      </c>
      <c r="S490" s="29">
        <v>0</v>
      </c>
      <c r="T490" s="29">
        <f t="shared" si="115"/>
        <v>2476.8853328481823</v>
      </c>
      <c r="U490" s="29">
        <f t="shared" si="116"/>
        <v>2476.8853328481823</v>
      </c>
      <c r="V490" s="33" t="s">
        <v>569</v>
      </c>
    </row>
    <row r="491" spans="1:22" s="23" customFormat="1" ht="42.75" customHeight="1" x14ac:dyDescent="0.25">
      <c r="A491" s="25">
        <v>26</v>
      </c>
      <c r="B491" s="36" t="s">
        <v>96</v>
      </c>
      <c r="C491" s="25" t="s">
        <v>43</v>
      </c>
      <c r="D491" s="25">
        <v>1984</v>
      </c>
      <c r="E491" s="27" t="s">
        <v>39</v>
      </c>
      <c r="F491" s="25" t="s">
        <v>48</v>
      </c>
      <c r="G491" s="28">
        <v>5</v>
      </c>
      <c r="H491" s="28">
        <v>4</v>
      </c>
      <c r="I491" s="29">
        <v>7213</v>
      </c>
      <c r="J491" s="29">
        <v>2963.5</v>
      </c>
      <c r="K491" s="29">
        <v>0</v>
      </c>
      <c r="L491" s="30">
        <v>20</v>
      </c>
      <c r="M491" s="31">
        <f t="shared" si="113"/>
        <v>9351698.2100000009</v>
      </c>
      <c r="N491" s="29">
        <v>0</v>
      </c>
      <c r="O491" s="29">
        <v>0</v>
      </c>
      <c r="P491" s="29">
        <v>0</v>
      </c>
      <c r="Q491" s="32">
        <f>'Таблица 3 '!C481</f>
        <v>9351698.2100000009</v>
      </c>
      <c r="R491" s="29">
        <f t="shared" si="114"/>
        <v>9351698.2100000009</v>
      </c>
      <c r="S491" s="29">
        <v>0</v>
      </c>
      <c r="T491" s="29">
        <f t="shared" si="115"/>
        <v>3155.6261886283114</v>
      </c>
      <c r="U491" s="29">
        <f t="shared" si="116"/>
        <v>3155.6261886283114</v>
      </c>
      <c r="V491" s="33" t="s">
        <v>569</v>
      </c>
    </row>
    <row r="492" spans="1:22" s="23" customFormat="1" ht="42.75" customHeight="1" x14ac:dyDescent="0.25">
      <c r="A492" s="25">
        <v>27</v>
      </c>
      <c r="B492" s="36" t="s">
        <v>97</v>
      </c>
      <c r="C492" s="25" t="s">
        <v>43</v>
      </c>
      <c r="D492" s="25">
        <v>1952</v>
      </c>
      <c r="E492" s="27" t="s">
        <v>39</v>
      </c>
      <c r="F492" s="25" t="s">
        <v>48</v>
      </c>
      <c r="G492" s="28">
        <v>2</v>
      </c>
      <c r="H492" s="28">
        <v>1</v>
      </c>
      <c r="I492" s="29">
        <v>546</v>
      </c>
      <c r="J492" s="29">
        <v>385.1</v>
      </c>
      <c r="K492" s="29">
        <v>0</v>
      </c>
      <c r="L492" s="30">
        <v>12</v>
      </c>
      <c r="M492" s="31">
        <f t="shared" si="113"/>
        <v>2270935.86</v>
      </c>
      <c r="N492" s="29">
        <v>0</v>
      </c>
      <c r="O492" s="29">
        <v>0</v>
      </c>
      <c r="P492" s="29">
        <v>0</v>
      </c>
      <c r="Q492" s="32">
        <f>'Таблица 3 '!C482</f>
        <v>2270935.86</v>
      </c>
      <c r="R492" s="29">
        <f t="shared" si="114"/>
        <v>2270935.86</v>
      </c>
      <c r="S492" s="29">
        <v>0</v>
      </c>
      <c r="T492" s="29">
        <f t="shared" si="115"/>
        <v>5897.0030122046219</v>
      </c>
      <c r="U492" s="29">
        <f t="shared" si="116"/>
        <v>5897.0030122046219</v>
      </c>
      <c r="V492" s="33" t="s">
        <v>569</v>
      </c>
    </row>
    <row r="493" spans="1:22" s="23" customFormat="1" ht="42.75" customHeight="1" x14ac:dyDescent="0.25">
      <c r="A493" s="25">
        <v>28</v>
      </c>
      <c r="B493" s="36" t="s">
        <v>98</v>
      </c>
      <c r="C493" s="25" t="s">
        <v>43</v>
      </c>
      <c r="D493" s="25">
        <v>1952</v>
      </c>
      <c r="E493" s="27" t="s">
        <v>39</v>
      </c>
      <c r="F493" s="25" t="s">
        <v>48</v>
      </c>
      <c r="G493" s="28">
        <v>2</v>
      </c>
      <c r="H493" s="28">
        <v>1</v>
      </c>
      <c r="I493" s="29">
        <v>389</v>
      </c>
      <c r="J493" s="29">
        <v>389</v>
      </c>
      <c r="K493" s="29">
        <v>0</v>
      </c>
      <c r="L493" s="30">
        <v>2</v>
      </c>
      <c r="M493" s="31">
        <f t="shared" si="113"/>
        <v>2288554.7000000002</v>
      </c>
      <c r="N493" s="29">
        <v>0</v>
      </c>
      <c r="O493" s="29">
        <v>0</v>
      </c>
      <c r="P493" s="29">
        <v>0</v>
      </c>
      <c r="Q493" s="32">
        <f>'Таблица 3 '!C483</f>
        <v>2288554.7000000002</v>
      </c>
      <c r="R493" s="29">
        <f t="shared" si="114"/>
        <v>2288554.7000000002</v>
      </c>
      <c r="S493" s="29">
        <v>0</v>
      </c>
      <c r="T493" s="29">
        <f t="shared" si="115"/>
        <v>5883.1740359897176</v>
      </c>
      <c r="U493" s="29">
        <f t="shared" si="116"/>
        <v>5883.1740359897176</v>
      </c>
      <c r="V493" s="33" t="s">
        <v>569</v>
      </c>
    </row>
    <row r="494" spans="1:22" s="23" customFormat="1" ht="42.75" customHeight="1" x14ac:dyDescent="0.25">
      <c r="A494" s="25">
        <v>29</v>
      </c>
      <c r="B494" s="36" t="s">
        <v>99</v>
      </c>
      <c r="C494" s="25" t="s">
        <v>43</v>
      </c>
      <c r="D494" s="25">
        <v>1952</v>
      </c>
      <c r="E494" s="27" t="s">
        <v>39</v>
      </c>
      <c r="F494" s="25" t="s">
        <v>48</v>
      </c>
      <c r="G494" s="28">
        <v>2</v>
      </c>
      <c r="H494" s="28">
        <v>1</v>
      </c>
      <c r="I494" s="29">
        <v>426.6</v>
      </c>
      <c r="J494" s="29">
        <v>391</v>
      </c>
      <c r="K494" s="29">
        <v>0</v>
      </c>
      <c r="L494" s="30">
        <v>2</v>
      </c>
      <c r="M494" s="31">
        <f t="shared" si="113"/>
        <v>2297590.0099999998</v>
      </c>
      <c r="N494" s="29">
        <v>0</v>
      </c>
      <c r="O494" s="29">
        <v>0</v>
      </c>
      <c r="P494" s="29">
        <v>0</v>
      </c>
      <c r="Q494" s="32">
        <f>'Таблица 3 '!C484</f>
        <v>2297590.0099999998</v>
      </c>
      <c r="R494" s="29">
        <f t="shared" si="114"/>
        <v>2297590.0099999998</v>
      </c>
      <c r="S494" s="29">
        <v>0</v>
      </c>
      <c r="T494" s="29">
        <f t="shared" si="115"/>
        <v>5876.1892838874674</v>
      </c>
      <c r="U494" s="29">
        <f t="shared" si="116"/>
        <v>5876.1892838874674</v>
      </c>
      <c r="V494" s="33" t="s">
        <v>569</v>
      </c>
    </row>
    <row r="495" spans="1:22" s="23" customFormat="1" ht="42.75" customHeight="1" x14ac:dyDescent="0.25">
      <c r="A495" s="25">
        <v>30</v>
      </c>
      <c r="B495" s="36" t="s">
        <v>100</v>
      </c>
      <c r="C495" s="25" t="s">
        <v>43</v>
      </c>
      <c r="D495" s="25">
        <v>1965</v>
      </c>
      <c r="E495" s="27" t="s">
        <v>39</v>
      </c>
      <c r="F495" s="25" t="s">
        <v>48</v>
      </c>
      <c r="G495" s="28">
        <v>2</v>
      </c>
      <c r="H495" s="28">
        <v>2</v>
      </c>
      <c r="I495" s="29">
        <v>162.1</v>
      </c>
      <c r="J495" s="29">
        <v>637.9</v>
      </c>
      <c r="K495" s="29">
        <v>0</v>
      </c>
      <c r="L495" s="30">
        <v>2</v>
      </c>
      <c r="M495" s="31">
        <f t="shared" si="113"/>
        <v>3621202.7100000004</v>
      </c>
      <c r="N495" s="29">
        <v>0</v>
      </c>
      <c r="O495" s="29">
        <v>0</v>
      </c>
      <c r="P495" s="29">
        <v>0</v>
      </c>
      <c r="Q495" s="32">
        <f>'Таблица 3 '!C485</f>
        <v>3621202.7100000004</v>
      </c>
      <c r="R495" s="29">
        <f t="shared" si="114"/>
        <v>3621202.7100000004</v>
      </c>
      <c r="S495" s="29">
        <v>0</v>
      </c>
      <c r="T495" s="29">
        <f t="shared" si="115"/>
        <v>5676.7560902962859</v>
      </c>
      <c r="U495" s="29">
        <f t="shared" si="116"/>
        <v>5676.7560902962859</v>
      </c>
      <c r="V495" s="33" t="s">
        <v>569</v>
      </c>
    </row>
    <row r="496" spans="1:22" s="23" customFormat="1" ht="42.75" customHeight="1" x14ac:dyDescent="0.25">
      <c r="A496" s="25">
        <v>31</v>
      </c>
      <c r="B496" s="36" t="s">
        <v>101</v>
      </c>
      <c r="C496" s="25" t="s">
        <v>43</v>
      </c>
      <c r="D496" s="25">
        <v>1972</v>
      </c>
      <c r="E496" s="27" t="s">
        <v>39</v>
      </c>
      <c r="F496" s="25" t="s">
        <v>48</v>
      </c>
      <c r="G496" s="28">
        <v>2</v>
      </c>
      <c r="H496" s="28">
        <v>2</v>
      </c>
      <c r="I496" s="29">
        <v>589</v>
      </c>
      <c r="J496" s="29">
        <v>633.29999999999995</v>
      </c>
      <c r="K496" s="29">
        <v>0</v>
      </c>
      <c r="L496" s="30">
        <v>2</v>
      </c>
      <c r="M496" s="31">
        <f t="shared" si="113"/>
        <v>3599901.2499999995</v>
      </c>
      <c r="N496" s="29">
        <v>0</v>
      </c>
      <c r="O496" s="29">
        <v>0</v>
      </c>
      <c r="P496" s="29">
        <v>0</v>
      </c>
      <c r="Q496" s="32">
        <f>'Таблица 3 '!C486</f>
        <v>3599901.2499999995</v>
      </c>
      <c r="R496" s="29">
        <f t="shared" si="114"/>
        <v>3599901.2499999995</v>
      </c>
      <c r="S496" s="29">
        <v>0</v>
      </c>
      <c r="T496" s="29">
        <f t="shared" si="115"/>
        <v>5684.3537817779879</v>
      </c>
      <c r="U496" s="29">
        <f t="shared" si="116"/>
        <v>5684.3537817779879</v>
      </c>
      <c r="V496" s="33" t="s">
        <v>569</v>
      </c>
    </row>
    <row r="497" spans="1:22" s="23" customFormat="1" ht="42.75" customHeight="1" x14ac:dyDescent="0.25">
      <c r="A497" s="25">
        <v>32</v>
      </c>
      <c r="B497" s="36" t="s">
        <v>102</v>
      </c>
      <c r="C497" s="25" t="s">
        <v>43</v>
      </c>
      <c r="D497" s="25">
        <v>1978</v>
      </c>
      <c r="E497" s="27" t="s">
        <v>39</v>
      </c>
      <c r="F497" s="25" t="s">
        <v>48</v>
      </c>
      <c r="G497" s="28">
        <v>2</v>
      </c>
      <c r="H497" s="28">
        <v>2</v>
      </c>
      <c r="I497" s="29">
        <v>698</v>
      </c>
      <c r="J497" s="29">
        <v>738</v>
      </c>
      <c r="K497" s="29">
        <v>0</v>
      </c>
      <c r="L497" s="30">
        <v>2</v>
      </c>
      <c r="M497" s="31">
        <f t="shared" si="113"/>
        <v>4051979.49</v>
      </c>
      <c r="N497" s="29">
        <v>0</v>
      </c>
      <c r="O497" s="29">
        <v>0</v>
      </c>
      <c r="P497" s="29">
        <v>0</v>
      </c>
      <c r="Q497" s="32">
        <f>'Таблица 3 '!C487</f>
        <v>4051979.49</v>
      </c>
      <c r="R497" s="29">
        <f t="shared" si="114"/>
        <v>4051979.49</v>
      </c>
      <c r="S497" s="29">
        <v>0</v>
      </c>
      <c r="T497" s="29">
        <f t="shared" si="115"/>
        <v>5490.4871138211383</v>
      </c>
      <c r="U497" s="29">
        <f t="shared" si="116"/>
        <v>5490.4871138211383</v>
      </c>
      <c r="V497" s="33" t="s">
        <v>569</v>
      </c>
    </row>
    <row r="498" spans="1:22" s="23" customFormat="1" ht="42.75" customHeight="1" x14ac:dyDescent="0.25">
      <c r="A498" s="25">
        <v>33</v>
      </c>
      <c r="B498" s="34" t="s">
        <v>582</v>
      </c>
      <c r="C498" s="25" t="s">
        <v>43</v>
      </c>
      <c r="D498" s="27" t="s">
        <v>152</v>
      </c>
      <c r="E498" s="27" t="s">
        <v>39</v>
      </c>
      <c r="F498" s="25" t="s">
        <v>44</v>
      </c>
      <c r="G498" s="28">
        <v>5</v>
      </c>
      <c r="H498" s="28">
        <v>4</v>
      </c>
      <c r="I498" s="29">
        <v>3298.2</v>
      </c>
      <c r="J498" s="29">
        <v>3271.8</v>
      </c>
      <c r="K498" s="29">
        <v>3169.9</v>
      </c>
      <c r="L498" s="30">
        <v>160</v>
      </c>
      <c r="M498" s="31">
        <f t="shared" si="113"/>
        <v>19168150.82</v>
      </c>
      <c r="N498" s="29">
        <v>0</v>
      </c>
      <c r="O498" s="29">
        <v>0</v>
      </c>
      <c r="P498" s="29">
        <v>0</v>
      </c>
      <c r="Q498" s="32">
        <f>'Таблица 3 '!C488</f>
        <v>19168150.82</v>
      </c>
      <c r="R498" s="29">
        <f t="shared" si="114"/>
        <v>19168150.82</v>
      </c>
      <c r="S498" s="29">
        <v>0</v>
      </c>
      <c r="T498" s="29">
        <f t="shared" si="115"/>
        <v>5858.5949080017117</v>
      </c>
      <c r="U498" s="29">
        <f t="shared" si="116"/>
        <v>5858.5949080017117</v>
      </c>
      <c r="V498" s="33" t="s">
        <v>569</v>
      </c>
    </row>
    <row r="499" spans="1:22" s="23" customFormat="1" ht="42.75" customHeight="1" x14ac:dyDescent="0.25">
      <c r="A499" s="25">
        <v>34</v>
      </c>
      <c r="B499" s="34" t="s">
        <v>105</v>
      </c>
      <c r="C499" s="25" t="s">
        <v>43</v>
      </c>
      <c r="D499" s="27" t="s">
        <v>106</v>
      </c>
      <c r="E499" s="27" t="s">
        <v>39</v>
      </c>
      <c r="F499" s="25" t="s">
        <v>44</v>
      </c>
      <c r="G499" s="28">
        <v>5</v>
      </c>
      <c r="H499" s="28">
        <v>3</v>
      </c>
      <c r="I499" s="29">
        <v>2776</v>
      </c>
      <c r="J499" s="29">
        <v>2757.6</v>
      </c>
      <c r="K499" s="29">
        <v>2632.8</v>
      </c>
      <c r="L499" s="30">
        <v>144</v>
      </c>
      <c r="M499" s="31">
        <f t="shared" si="113"/>
        <v>5278332.09</v>
      </c>
      <c r="N499" s="29">
        <v>0</v>
      </c>
      <c r="O499" s="29">
        <v>0</v>
      </c>
      <c r="P499" s="29">
        <v>0</v>
      </c>
      <c r="Q499" s="32">
        <f>'Таблица 3 '!C489</f>
        <v>5278332.09</v>
      </c>
      <c r="R499" s="29">
        <f t="shared" si="114"/>
        <v>5278332.09</v>
      </c>
      <c r="S499" s="29">
        <v>0</v>
      </c>
      <c r="T499" s="29">
        <f t="shared" si="115"/>
        <v>1914.1036009573543</v>
      </c>
      <c r="U499" s="29">
        <f t="shared" si="116"/>
        <v>1914.1036009573543</v>
      </c>
      <c r="V499" s="33" t="s">
        <v>569</v>
      </c>
    </row>
    <row r="500" spans="1:22" s="23" customFormat="1" ht="42.75" customHeight="1" x14ac:dyDescent="0.25">
      <c r="A500" s="25">
        <v>35</v>
      </c>
      <c r="B500" s="26" t="s">
        <v>107</v>
      </c>
      <c r="C500" s="25" t="s">
        <v>43</v>
      </c>
      <c r="D500" s="25">
        <v>1956</v>
      </c>
      <c r="E500" s="27" t="s">
        <v>39</v>
      </c>
      <c r="F500" s="25" t="s">
        <v>44</v>
      </c>
      <c r="G500" s="28">
        <v>2</v>
      </c>
      <c r="H500" s="28">
        <v>1</v>
      </c>
      <c r="I500" s="29">
        <v>368.1</v>
      </c>
      <c r="J500" s="29">
        <v>336.2</v>
      </c>
      <c r="K500" s="29">
        <v>368.9</v>
      </c>
      <c r="L500" s="30">
        <v>12</v>
      </c>
      <c r="M500" s="31">
        <f t="shared" si="113"/>
        <v>3094672.86</v>
      </c>
      <c r="N500" s="29">
        <v>0</v>
      </c>
      <c r="O500" s="29">
        <v>0</v>
      </c>
      <c r="P500" s="29">
        <v>0</v>
      </c>
      <c r="Q500" s="32">
        <f>'Таблица 3 '!C490</f>
        <v>3094672.86</v>
      </c>
      <c r="R500" s="29">
        <f t="shared" si="114"/>
        <v>3094672.86</v>
      </c>
      <c r="S500" s="29">
        <v>0</v>
      </c>
      <c r="T500" s="29">
        <f t="shared" si="115"/>
        <v>9204.8568114217724</v>
      </c>
      <c r="U500" s="29">
        <f t="shared" si="116"/>
        <v>9204.8568114217724</v>
      </c>
      <c r="V500" s="33" t="s">
        <v>569</v>
      </c>
    </row>
    <row r="501" spans="1:22" s="23" customFormat="1" ht="42.75" customHeight="1" x14ac:dyDescent="0.25">
      <c r="A501" s="25">
        <v>36</v>
      </c>
      <c r="B501" s="26" t="s">
        <v>108</v>
      </c>
      <c r="C501" s="25" t="s">
        <v>43</v>
      </c>
      <c r="D501" s="25">
        <v>1986</v>
      </c>
      <c r="E501" s="27" t="s">
        <v>63</v>
      </c>
      <c r="F501" s="25" t="s">
        <v>44</v>
      </c>
      <c r="G501" s="28">
        <v>9</v>
      </c>
      <c r="H501" s="28">
        <v>1</v>
      </c>
      <c r="I501" s="29">
        <v>4246.6000000000004</v>
      </c>
      <c r="J501" s="29">
        <v>4020.8</v>
      </c>
      <c r="K501" s="29">
        <v>3025.7</v>
      </c>
      <c r="L501" s="30">
        <v>139</v>
      </c>
      <c r="M501" s="31">
        <f t="shared" si="113"/>
        <v>6465414.7400000002</v>
      </c>
      <c r="N501" s="29">
        <v>0</v>
      </c>
      <c r="O501" s="29">
        <v>0</v>
      </c>
      <c r="P501" s="29">
        <v>0</v>
      </c>
      <c r="Q501" s="32">
        <f>'Таблица 3 '!C491</f>
        <v>6465414.7400000002</v>
      </c>
      <c r="R501" s="29">
        <f t="shared" si="114"/>
        <v>6465414.7400000002</v>
      </c>
      <c r="S501" s="29">
        <v>0</v>
      </c>
      <c r="T501" s="29">
        <f t="shared" si="115"/>
        <v>1607.9921259450855</v>
      </c>
      <c r="U501" s="29">
        <f t="shared" si="116"/>
        <v>1607.9921259450855</v>
      </c>
      <c r="V501" s="33" t="s">
        <v>569</v>
      </c>
    </row>
    <row r="502" spans="1:22" s="23" customFormat="1" ht="42.75" customHeight="1" x14ac:dyDescent="0.25">
      <c r="A502" s="25">
        <v>37</v>
      </c>
      <c r="B502" s="26" t="s">
        <v>583</v>
      </c>
      <c r="C502" s="25" t="s">
        <v>43</v>
      </c>
      <c r="D502" s="25">
        <v>1988</v>
      </c>
      <c r="E502" s="27" t="s">
        <v>39</v>
      </c>
      <c r="F502" s="25" t="s">
        <v>44</v>
      </c>
      <c r="G502" s="28">
        <v>9</v>
      </c>
      <c r="H502" s="28">
        <v>1</v>
      </c>
      <c r="I502" s="29">
        <v>4924.2</v>
      </c>
      <c r="J502" s="29">
        <v>4903.5</v>
      </c>
      <c r="K502" s="29">
        <v>4816</v>
      </c>
      <c r="L502" s="30">
        <v>128</v>
      </c>
      <c r="M502" s="31">
        <f t="shared" si="113"/>
        <v>27237756.780000001</v>
      </c>
      <c r="N502" s="29">
        <v>0</v>
      </c>
      <c r="O502" s="29">
        <v>0</v>
      </c>
      <c r="P502" s="29">
        <v>0</v>
      </c>
      <c r="Q502" s="32">
        <f>'Таблица 3 '!C492</f>
        <v>27237756.780000001</v>
      </c>
      <c r="R502" s="29">
        <f t="shared" si="114"/>
        <v>27237756.780000001</v>
      </c>
      <c r="S502" s="29">
        <v>0</v>
      </c>
      <c r="T502" s="29">
        <f t="shared" si="115"/>
        <v>5554.758189048639</v>
      </c>
      <c r="U502" s="29">
        <f t="shared" si="116"/>
        <v>5554.758189048639</v>
      </c>
      <c r="V502" s="33" t="s">
        <v>569</v>
      </c>
    </row>
    <row r="503" spans="1:22" s="23" customFormat="1" ht="42.75" customHeight="1" x14ac:dyDescent="0.25">
      <c r="A503" s="25">
        <v>38</v>
      </c>
      <c r="B503" s="26" t="s">
        <v>110</v>
      </c>
      <c r="C503" s="25" t="s">
        <v>43</v>
      </c>
      <c r="D503" s="25">
        <v>1992</v>
      </c>
      <c r="E503" s="27" t="s">
        <v>39</v>
      </c>
      <c r="F503" s="25" t="s">
        <v>48</v>
      </c>
      <c r="G503" s="28">
        <v>9</v>
      </c>
      <c r="H503" s="28">
        <v>2</v>
      </c>
      <c r="I503" s="29">
        <v>3528.2</v>
      </c>
      <c r="J503" s="29">
        <v>3528.2</v>
      </c>
      <c r="K503" s="29">
        <v>3528.2</v>
      </c>
      <c r="L503" s="30">
        <v>126</v>
      </c>
      <c r="M503" s="31">
        <f t="shared" si="113"/>
        <v>10750862.140000001</v>
      </c>
      <c r="N503" s="29">
        <v>0</v>
      </c>
      <c r="O503" s="29">
        <v>0</v>
      </c>
      <c r="P503" s="29">
        <v>0</v>
      </c>
      <c r="Q503" s="32">
        <f>'Таблица 3 '!C493</f>
        <v>10750862.140000001</v>
      </c>
      <c r="R503" s="29">
        <f t="shared" si="114"/>
        <v>10750862.140000001</v>
      </c>
      <c r="S503" s="29">
        <v>0</v>
      </c>
      <c r="T503" s="29">
        <f t="shared" si="115"/>
        <v>3047.1237854996884</v>
      </c>
      <c r="U503" s="29">
        <f t="shared" si="116"/>
        <v>3047.1237854996884</v>
      </c>
      <c r="V503" s="33" t="s">
        <v>569</v>
      </c>
    </row>
    <row r="504" spans="1:22" s="23" customFormat="1" ht="42.75" customHeight="1" x14ac:dyDescent="0.25">
      <c r="A504" s="25">
        <v>39</v>
      </c>
      <c r="B504" s="26" t="s">
        <v>584</v>
      </c>
      <c r="C504" s="25" t="s">
        <v>43</v>
      </c>
      <c r="D504" s="25">
        <v>1986</v>
      </c>
      <c r="E504" s="27" t="s">
        <v>39</v>
      </c>
      <c r="F504" s="25" t="s">
        <v>44</v>
      </c>
      <c r="G504" s="28">
        <v>9</v>
      </c>
      <c r="H504" s="28">
        <v>2</v>
      </c>
      <c r="I504" s="29">
        <v>6205.5</v>
      </c>
      <c r="J504" s="29">
        <v>6205.2</v>
      </c>
      <c r="K504" s="29">
        <v>5996.4</v>
      </c>
      <c r="L504" s="30">
        <v>85</v>
      </c>
      <c r="M504" s="31">
        <f t="shared" si="113"/>
        <v>5614866.0700000003</v>
      </c>
      <c r="N504" s="29">
        <v>0</v>
      </c>
      <c r="O504" s="29">
        <v>0</v>
      </c>
      <c r="P504" s="29">
        <v>0</v>
      </c>
      <c r="Q504" s="32">
        <f>'Таблица 3 '!C494</f>
        <v>5614866.0700000003</v>
      </c>
      <c r="R504" s="29">
        <f t="shared" si="114"/>
        <v>5614866.0700000003</v>
      </c>
      <c r="S504" s="29">
        <v>0</v>
      </c>
      <c r="T504" s="29">
        <f t="shared" si="115"/>
        <v>904.86464094630321</v>
      </c>
      <c r="U504" s="29">
        <f t="shared" si="116"/>
        <v>904.86464094630321</v>
      </c>
      <c r="V504" s="33" t="s">
        <v>569</v>
      </c>
    </row>
    <row r="505" spans="1:22" s="23" customFormat="1" ht="42.75" customHeight="1" x14ac:dyDescent="0.25">
      <c r="A505" s="25">
        <v>40</v>
      </c>
      <c r="B505" s="26" t="s">
        <v>585</v>
      </c>
      <c r="C505" s="25" t="s">
        <v>43</v>
      </c>
      <c r="D505" s="25">
        <v>1954</v>
      </c>
      <c r="E505" s="27" t="s">
        <v>39</v>
      </c>
      <c r="F505" s="25" t="s">
        <v>44</v>
      </c>
      <c r="G505" s="28">
        <v>3</v>
      </c>
      <c r="H505" s="28">
        <v>2</v>
      </c>
      <c r="I505" s="29">
        <v>1110</v>
      </c>
      <c r="J505" s="29">
        <v>1020</v>
      </c>
      <c r="K505" s="29">
        <v>39.299999999999997</v>
      </c>
      <c r="L505" s="30">
        <v>2</v>
      </c>
      <c r="M505" s="31">
        <f t="shared" si="113"/>
        <v>10451299.939999999</v>
      </c>
      <c r="N505" s="29">
        <v>0</v>
      </c>
      <c r="O505" s="29">
        <v>0</v>
      </c>
      <c r="P505" s="29">
        <v>0</v>
      </c>
      <c r="Q505" s="32">
        <f>'Таблица 3 '!C495</f>
        <v>10451299.939999999</v>
      </c>
      <c r="R505" s="29">
        <f t="shared" si="114"/>
        <v>10451299.939999999</v>
      </c>
      <c r="S505" s="29">
        <v>0</v>
      </c>
      <c r="T505" s="29">
        <f t="shared" si="115"/>
        <v>10246.372490196078</v>
      </c>
      <c r="U505" s="29">
        <f t="shared" si="116"/>
        <v>10246.372490196078</v>
      </c>
      <c r="V505" s="33" t="s">
        <v>569</v>
      </c>
    </row>
    <row r="506" spans="1:22" s="23" customFormat="1" ht="42.75" customHeight="1" x14ac:dyDescent="0.25">
      <c r="A506" s="25">
        <v>41</v>
      </c>
      <c r="B506" s="26" t="s">
        <v>586</v>
      </c>
      <c r="C506" s="25" t="s">
        <v>43</v>
      </c>
      <c r="D506" s="25">
        <v>1980</v>
      </c>
      <c r="E506" s="27" t="s">
        <v>39</v>
      </c>
      <c r="F506" s="25" t="s">
        <v>384</v>
      </c>
      <c r="G506" s="28">
        <v>2</v>
      </c>
      <c r="H506" s="28">
        <v>2</v>
      </c>
      <c r="I506" s="29">
        <v>1030.9000000000001</v>
      </c>
      <c r="J506" s="29">
        <v>611.30999999999995</v>
      </c>
      <c r="K506" s="29">
        <v>0</v>
      </c>
      <c r="L506" s="30">
        <v>24</v>
      </c>
      <c r="M506" s="31">
        <f t="shared" si="113"/>
        <v>6158086.96</v>
      </c>
      <c r="N506" s="29">
        <v>0</v>
      </c>
      <c r="O506" s="29">
        <v>0</v>
      </c>
      <c r="P506" s="29">
        <v>0</v>
      </c>
      <c r="Q506" s="32">
        <f>'Таблица 3 '!C496</f>
        <v>6158086.96</v>
      </c>
      <c r="R506" s="29">
        <f t="shared" si="114"/>
        <v>6158086.96</v>
      </c>
      <c r="S506" s="29">
        <v>0</v>
      </c>
      <c r="T506" s="29">
        <f t="shared" si="115"/>
        <v>10073.591074904714</v>
      </c>
      <c r="U506" s="29">
        <f t="shared" si="116"/>
        <v>10073.591074904714</v>
      </c>
      <c r="V506" s="33" t="s">
        <v>569</v>
      </c>
    </row>
    <row r="507" spans="1:22" s="23" customFormat="1" ht="42.75" customHeight="1" x14ac:dyDescent="0.25">
      <c r="A507" s="25">
        <v>42</v>
      </c>
      <c r="B507" s="26" t="s">
        <v>587</v>
      </c>
      <c r="C507" s="25" t="s">
        <v>43</v>
      </c>
      <c r="D507" s="25">
        <v>1968</v>
      </c>
      <c r="E507" s="27" t="s">
        <v>39</v>
      </c>
      <c r="F507" s="25" t="s">
        <v>44</v>
      </c>
      <c r="G507" s="28">
        <v>3</v>
      </c>
      <c r="H507" s="28">
        <v>1</v>
      </c>
      <c r="I507" s="29">
        <v>3838.3</v>
      </c>
      <c r="J507" s="29">
        <v>1284.0999999999999</v>
      </c>
      <c r="K507" s="29">
        <v>0</v>
      </c>
      <c r="L507" s="30">
        <v>2</v>
      </c>
      <c r="M507" s="31">
        <f t="shared" si="113"/>
        <v>22742051.099999998</v>
      </c>
      <c r="N507" s="29">
        <v>0</v>
      </c>
      <c r="O507" s="29">
        <v>0</v>
      </c>
      <c r="P507" s="29">
        <v>0</v>
      </c>
      <c r="Q507" s="32">
        <f>'Таблица 3 '!C497</f>
        <v>22742051.099999998</v>
      </c>
      <c r="R507" s="29">
        <f t="shared" si="114"/>
        <v>22742051.099999998</v>
      </c>
      <c r="S507" s="29">
        <v>0</v>
      </c>
      <c r="T507" s="29">
        <f t="shared" si="115"/>
        <v>17710.498481426679</v>
      </c>
      <c r="U507" s="29">
        <f t="shared" si="116"/>
        <v>17710.498481426679</v>
      </c>
      <c r="V507" s="33" t="s">
        <v>569</v>
      </c>
    </row>
    <row r="508" spans="1:22" s="23" customFormat="1" ht="42.75" customHeight="1" x14ac:dyDescent="0.25">
      <c r="A508" s="25">
        <v>43</v>
      </c>
      <c r="B508" s="26" t="s">
        <v>112</v>
      </c>
      <c r="C508" s="25" t="s">
        <v>43</v>
      </c>
      <c r="D508" s="25">
        <v>1971</v>
      </c>
      <c r="E508" s="27" t="s">
        <v>39</v>
      </c>
      <c r="F508" s="25" t="s">
        <v>48</v>
      </c>
      <c r="G508" s="28">
        <v>2</v>
      </c>
      <c r="H508" s="28">
        <v>2</v>
      </c>
      <c r="I508" s="32">
        <v>653.20000000000005</v>
      </c>
      <c r="J508" s="32">
        <v>639.9</v>
      </c>
      <c r="K508" s="32">
        <v>357.8</v>
      </c>
      <c r="L508" s="35">
        <v>41</v>
      </c>
      <c r="M508" s="31">
        <f t="shared" si="113"/>
        <v>4174973.77</v>
      </c>
      <c r="N508" s="29">
        <v>0</v>
      </c>
      <c r="O508" s="29">
        <v>0</v>
      </c>
      <c r="P508" s="29">
        <v>0</v>
      </c>
      <c r="Q508" s="32">
        <f>'Таблица 3 '!C498</f>
        <v>4174973.77</v>
      </c>
      <c r="R508" s="29">
        <f t="shared" si="114"/>
        <v>4174973.77</v>
      </c>
      <c r="S508" s="32">
        <v>0</v>
      </c>
      <c r="T508" s="29">
        <f t="shared" si="115"/>
        <v>6524.4159556180657</v>
      </c>
      <c r="U508" s="29">
        <f t="shared" si="116"/>
        <v>6524.4159556180657</v>
      </c>
      <c r="V508" s="33" t="s">
        <v>569</v>
      </c>
    </row>
    <row r="509" spans="1:22" s="23" customFormat="1" ht="42.75" customHeight="1" x14ac:dyDescent="0.25">
      <c r="A509" s="25">
        <v>44</v>
      </c>
      <c r="B509" s="34" t="s">
        <v>588</v>
      </c>
      <c r="C509" s="25" t="s">
        <v>43</v>
      </c>
      <c r="D509" s="27" t="s">
        <v>132</v>
      </c>
      <c r="E509" s="27" t="s">
        <v>39</v>
      </c>
      <c r="F509" s="25" t="s">
        <v>44</v>
      </c>
      <c r="G509" s="28">
        <v>5</v>
      </c>
      <c r="H509" s="28">
        <v>6</v>
      </c>
      <c r="I509" s="29">
        <v>4542.3999999999996</v>
      </c>
      <c r="J509" s="29">
        <v>4542.3999999999996</v>
      </c>
      <c r="K509" s="29">
        <v>4417.8</v>
      </c>
      <c r="L509" s="30">
        <v>216</v>
      </c>
      <c r="M509" s="31">
        <f t="shared" si="113"/>
        <v>6172478.1699999999</v>
      </c>
      <c r="N509" s="29">
        <v>0</v>
      </c>
      <c r="O509" s="29">
        <v>0</v>
      </c>
      <c r="P509" s="29">
        <v>0</v>
      </c>
      <c r="Q509" s="32">
        <f>'Таблица 3 '!C499</f>
        <v>6172478.1699999999</v>
      </c>
      <c r="R509" s="29">
        <f t="shared" si="114"/>
        <v>6172478.1699999999</v>
      </c>
      <c r="S509" s="29">
        <v>0</v>
      </c>
      <c r="T509" s="29">
        <f t="shared" si="115"/>
        <v>1358.8583502113422</v>
      </c>
      <c r="U509" s="29">
        <f t="shared" si="116"/>
        <v>1358.8583502113422</v>
      </c>
      <c r="V509" s="33" t="s">
        <v>569</v>
      </c>
    </row>
    <row r="510" spans="1:22" s="23" customFormat="1" ht="42.75" customHeight="1" x14ac:dyDescent="0.25">
      <c r="A510" s="25">
        <v>45</v>
      </c>
      <c r="B510" s="26" t="s">
        <v>117</v>
      </c>
      <c r="C510" s="25" t="s">
        <v>43</v>
      </c>
      <c r="D510" s="25">
        <v>1959</v>
      </c>
      <c r="E510" s="27" t="s">
        <v>39</v>
      </c>
      <c r="F510" s="25" t="s">
        <v>44</v>
      </c>
      <c r="G510" s="28">
        <v>2</v>
      </c>
      <c r="H510" s="28">
        <v>1</v>
      </c>
      <c r="I510" s="29">
        <v>268.89999999999998</v>
      </c>
      <c r="J510" s="29">
        <v>273</v>
      </c>
      <c r="K510" s="29">
        <v>190.7</v>
      </c>
      <c r="L510" s="30">
        <v>20</v>
      </c>
      <c r="M510" s="31">
        <f t="shared" si="113"/>
        <v>2512925.91</v>
      </c>
      <c r="N510" s="29">
        <v>0</v>
      </c>
      <c r="O510" s="29">
        <v>0</v>
      </c>
      <c r="P510" s="29">
        <v>0</v>
      </c>
      <c r="Q510" s="32">
        <f>'Таблица 3 '!C500</f>
        <v>2512925.91</v>
      </c>
      <c r="R510" s="29">
        <f t="shared" si="114"/>
        <v>2512925.91</v>
      </c>
      <c r="S510" s="29">
        <v>0</v>
      </c>
      <c r="T510" s="29">
        <f t="shared" si="115"/>
        <v>9204.8568131868142</v>
      </c>
      <c r="U510" s="29">
        <f t="shared" si="116"/>
        <v>9204.8568131868142</v>
      </c>
      <c r="V510" s="33" t="s">
        <v>569</v>
      </c>
    </row>
    <row r="511" spans="1:22" s="23" customFormat="1" ht="42.75" customHeight="1" x14ac:dyDescent="0.25">
      <c r="A511" s="25">
        <v>46</v>
      </c>
      <c r="B511" s="26" t="s">
        <v>118</v>
      </c>
      <c r="C511" s="25" t="s">
        <v>43</v>
      </c>
      <c r="D511" s="25">
        <v>1960</v>
      </c>
      <c r="E511" s="27" t="s">
        <v>39</v>
      </c>
      <c r="F511" s="25" t="s">
        <v>44</v>
      </c>
      <c r="G511" s="28">
        <v>2</v>
      </c>
      <c r="H511" s="28">
        <v>1</v>
      </c>
      <c r="I511" s="29">
        <v>284.7</v>
      </c>
      <c r="J511" s="29">
        <v>272.5</v>
      </c>
      <c r="K511" s="29">
        <v>237.6</v>
      </c>
      <c r="L511" s="30">
        <v>16</v>
      </c>
      <c r="M511" s="31">
        <f t="shared" si="113"/>
        <v>2547866.31</v>
      </c>
      <c r="N511" s="29">
        <v>0</v>
      </c>
      <c r="O511" s="29">
        <v>0</v>
      </c>
      <c r="P511" s="29">
        <v>0</v>
      </c>
      <c r="Q511" s="32">
        <f>'Таблица 3 '!C501</f>
        <v>2547866.31</v>
      </c>
      <c r="R511" s="29">
        <f t="shared" si="114"/>
        <v>2547866.31</v>
      </c>
      <c r="S511" s="29">
        <v>0</v>
      </c>
      <c r="T511" s="29">
        <f t="shared" si="115"/>
        <v>9349.9681100917442</v>
      </c>
      <c r="U511" s="29">
        <f t="shared" si="116"/>
        <v>9349.9681100917442</v>
      </c>
      <c r="V511" s="33" t="s">
        <v>569</v>
      </c>
    </row>
    <row r="512" spans="1:22" s="23" customFormat="1" ht="42.75" customHeight="1" x14ac:dyDescent="0.25">
      <c r="A512" s="25">
        <v>47</v>
      </c>
      <c r="B512" s="26" t="s">
        <v>119</v>
      </c>
      <c r="C512" s="25" t="s">
        <v>43</v>
      </c>
      <c r="D512" s="25">
        <v>1958</v>
      </c>
      <c r="E512" s="27" t="s">
        <v>39</v>
      </c>
      <c r="F512" s="25" t="s">
        <v>44</v>
      </c>
      <c r="G512" s="28">
        <v>2</v>
      </c>
      <c r="H512" s="28">
        <v>1</v>
      </c>
      <c r="I512" s="29">
        <v>261.8</v>
      </c>
      <c r="J512" s="29">
        <v>273.39999999999998</v>
      </c>
      <c r="K512" s="29">
        <v>273.39999999999998</v>
      </c>
      <c r="L512" s="30">
        <v>8</v>
      </c>
      <c r="M512" s="31">
        <f t="shared" si="113"/>
        <v>1016246.5700000001</v>
      </c>
      <c r="N512" s="29">
        <v>0</v>
      </c>
      <c r="O512" s="29">
        <v>0</v>
      </c>
      <c r="P512" s="29">
        <v>0</v>
      </c>
      <c r="Q512" s="32">
        <f>'Таблица 3 '!C502</f>
        <v>1016246.5700000001</v>
      </c>
      <c r="R512" s="29">
        <f t="shared" si="114"/>
        <v>1016246.5700000001</v>
      </c>
      <c r="S512" s="29">
        <v>0</v>
      </c>
      <c r="T512" s="29">
        <f t="shared" si="115"/>
        <v>3717.0686539868329</v>
      </c>
      <c r="U512" s="29">
        <f t="shared" si="116"/>
        <v>3717.0686539868329</v>
      </c>
      <c r="V512" s="33" t="s">
        <v>569</v>
      </c>
    </row>
    <row r="513" spans="1:22" s="23" customFormat="1" ht="42.75" customHeight="1" x14ac:dyDescent="0.25">
      <c r="A513" s="25">
        <v>48</v>
      </c>
      <c r="B513" s="26" t="s">
        <v>589</v>
      </c>
      <c r="C513" s="25" t="s">
        <v>43</v>
      </c>
      <c r="D513" s="25">
        <v>1959</v>
      </c>
      <c r="E513" s="27" t="s">
        <v>39</v>
      </c>
      <c r="F513" s="25" t="s">
        <v>44</v>
      </c>
      <c r="G513" s="28">
        <v>2</v>
      </c>
      <c r="H513" s="28">
        <v>1</v>
      </c>
      <c r="I513" s="29">
        <v>231.2</v>
      </c>
      <c r="J513" s="29">
        <v>273.2</v>
      </c>
      <c r="K513" s="29">
        <v>242.7</v>
      </c>
      <c r="L513" s="30">
        <v>8</v>
      </c>
      <c r="M513" s="31">
        <f t="shared" si="113"/>
        <v>2780360.88</v>
      </c>
      <c r="N513" s="29">
        <v>0</v>
      </c>
      <c r="O513" s="29">
        <v>0</v>
      </c>
      <c r="P513" s="29">
        <v>0</v>
      </c>
      <c r="Q513" s="32">
        <f>'Таблица 3 '!C503</f>
        <v>2780360.88</v>
      </c>
      <c r="R513" s="29">
        <f t="shared" si="114"/>
        <v>2780360.88</v>
      </c>
      <c r="S513" s="29">
        <v>0</v>
      </c>
      <c r="T513" s="29">
        <f t="shared" si="115"/>
        <v>10177.016398243046</v>
      </c>
      <c r="U513" s="29">
        <f t="shared" si="116"/>
        <v>10177.016398243046</v>
      </c>
      <c r="V513" s="33" t="s">
        <v>569</v>
      </c>
    </row>
    <row r="514" spans="1:22" s="23" customFormat="1" ht="42.75" customHeight="1" x14ac:dyDescent="0.25">
      <c r="A514" s="25">
        <v>49</v>
      </c>
      <c r="B514" s="26" t="s">
        <v>590</v>
      </c>
      <c r="C514" s="25" t="s">
        <v>43</v>
      </c>
      <c r="D514" s="25">
        <v>1958</v>
      </c>
      <c r="E514" s="27" t="s">
        <v>39</v>
      </c>
      <c r="F514" s="25" t="s">
        <v>44</v>
      </c>
      <c r="G514" s="28">
        <v>2</v>
      </c>
      <c r="H514" s="28">
        <v>1</v>
      </c>
      <c r="I514" s="29">
        <v>284.7</v>
      </c>
      <c r="J514" s="29">
        <v>279.39999999999998</v>
      </c>
      <c r="K514" s="29">
        <v>141.19999999999999</v>
      </c>
      <c r="L514" s="30">
        <v>18</v>
      </c>
      <c r="M514" s="31">
        <f t="shared" si="113"/>
        <v>1261306.53</v>
      </c>
      <c r="N514" s="29">
        <v>0</v>
      </c>
      <c r="O514" s="29">
        <v>0</v>
      </c>
      <c r="P514" s="29">
        <v>0</v>
      </c>
      <c r="Q514" s="32">
        <f>'Таблица 3 '!C504</f>
        <v>1261306.53</v>
      </c>
      <c r="R514" s="29">
        <f t="shared" si="114"/>
        <v>1261306.53</v>
      </c>
      <c r="S514" s="29">
        <v>0</v>
      </c>
      <c r="T514" s="29">
        <f t="shared" si="115"/>
        <v>4514.3397637795279</v>
      </c>
      <c r="U514" s="29">
        <f t="shared" si="116"/>
        <v>4514.3397637795279</v>
      </c>
      <c r="V514" s="33" t="s">
        <v>569</v>
      </c>
    </row>
    <row r="515" spans="1:22" s="23" customFormat="1" ht="56.25" customHeight="1" x14ac:dyDescent="0.25">
      <c r="A515" s="25">
        <v>50</v>
      </c>
      <c r="B515" s="26" t="s">
        <v>591</v>
      </c>
      <c r="C515" s="25" t="s">
        <v>85</v>
      </c>
      <c r="D515" s="25">
        <v>2001</v>
      </c>
      <c r="E515" s="27" t="s">
        <v>39</v>
      </c>
      <c r="F515" s="25" t="s">
        <v>44</v>
      </c>
      <c r="G515" s="28">
        <v>9</v>
      </c>
      <c r="H515" s="28">
        <v>2</v>
      </c>
      <c r="I515" s="29">
        <v>4346.8</v>
      </c>
      <c r="J515" s="29">
        <v>3819.9</v>
      </c>
      <c r="K515" s="29">
        <v>3819.9</v>
      </c>
      <c r="L515" s="30">
        <v>73</v>
      </c>
      <c r="M515" s="31">
        <f t="shared" si="113"/>
        <v>5964866.0700000003</v>
      </c>
      <c r="N515" s="29">
        <v>0</v>
      </c>
      <c r="O515" s="29">
        <v>0</v>
      </c>
      <c r="P515" s="29">
        <v>0</v>
      </c>
      <c r="Q515" s="32">
        <f>'Таблица 3 '!C505</f>
        <v>5964866.0700000003</v>
      </c>
      <c r="R515" s="29">
        <f t="shared" si="114"/>
        <v>5964866.0700000003</v>
      </c>
      <c r="S515" s="29">
        <v>0</v>
      </c>
      <c r="T515" s="29">
        <f t="shared" si="115"/>
        <v>1561.5241419932458</v>
      </c>
      <c r="U515" s="29">
        <f t="shared" si="116"/>
        <v>1561.5241419932458</v>
      </c>
      <c r="V515" s="33" t="s">
        <v>569</v>
      </c>
    </row>
    <row r="516" spans="1:22" s="23" customFormat="1" ht="42.75" customHeight="1" x14ac:dyDescent="0.25">
      <c r="A516" s="25">
        <v>51</v>
      </c>
      <c r="B516" s="38" t="s">
        <v>121</v>
      </c>
      <c r="C516" s="25" t="s">
        <v>43</v>
      </c>
      <c r="D516" s="27" t="s">
        <v>93</v>
      </c>
      <c r="E516" s="27" t="s">
        <v>39</v>
      </c>
      <c r="F516" s="25" t="s">
        <v>44</v>
      </c>
      <c r="G516" s="28">
        <v>2</v>
      </c>
      <c r="H516" s="28">
        <v>2</v>
      </c>
      <c r="I516" s="29">
        <v>775.9</v>
      </c>
      <c r="J516" s="29">
        <v>676.7</v>
      </c>
      <c r="K516" s="29">
        <v>107</v>
      </c>
      <c r="L516" s="30">
        <v>49</v>
      </c>
      <c r="M516" s="31">
        <f t="shared" si="113"/>
        <v>8228321.7000000002</v>
      </c>
      <c r="N516" s="29">
        <v>0</v>
      </c>
      <c r="O516" s="29">
        <v>0</v>
      </c>
      <c r="P516" s="29">
        <v>0</v>
      </c>
      <c r="Q516" s="32">
        <f>'Таблица 3 '!C506</f>
        <v>8228321.7000000002</v>
      </c>
      <c r="R516" s="29">
        <f t="shared" si="114"/>
        <v>8228321.7000000002</v>
      </c>
      <c r="S516" s="29">
        <v>0</v>
      </c>
      <c r="T516" s="29">
        <f t="shared" si="115"/>
        <v>12159.48234077139</v>
      </c>
      <c r="U516" s="29">
        <f t="shared" si="116"/>
        <v>12159.48234077139</v>
      </c>
      <c r="V516" s="33" t="s">
        <v>569</v>
      </c>
    </row>
    <row r="517" spans="1:22" s="23" customFormat="1" ht="42.75" customHeight="1" x14ac:dyDescent="0.25">
      <c r="A517" s="25">
        <v>52</v>
      </c>
      <c r="B517" s="26" t="s">
        <v>125</v>
      </c>
      <c r="C517" s="25" t="s">
        <v>43</v>
      </c>
      <c r="D517" s="27" t="s">
        <v>126</v>
      </c>
      <c r="E517" s="27" t="s">
        <v>39</v>
      </c>
      <c r="F517" s="25" t="s">
        <v>44</v>
      </c>
      <c r="G517" s="28">
        <v>4</v>
      </c>
      <c r="H517" s="28">
        <v>1</v>
      </c>
      <c r="I517" s="29">
        <v>869.9</v>
      </c>
      <c r="J517" s="29">
        <v>847.1</v>
      </c>
      <c r="K517" s="29">
        <v>642.70000000000005</v>
      </c>
      <c r="L517" s="30">
        <v>52</v>
      </c>
      <c r="M517" s="31">
        <f t="shared" si="113"/>
        <v>4106769.53</v>
      </c>
      <c r="N517" s="29">
        <v>0</v>
      </c>
      <c r="O517" s="29">
        <v>0</v>
      </c>
      <c r="P517" s="29">
        <v>0</v>
      </c>
      <c r="Q517" s="32">
        <f>'Таблица 3 '!C507</f>
        <v>4106769.53</v>
      </c>
      <c r="R517" s="29">
        <f t="shared" si="114"/>
        <v>4106769.53</v>
      </c>
      <c r="S517" s="29">
        <v>0</v>
      </c>
      <c r="T517" s="29">
        <f t="shared" si="115"/>
        <v>4848.0339157124299</v>
      </c>
      <c r="U517" s="29">
        <f t="shared" si="116"/>
        <v>4848.0339157124299</v>
      </c>
      <c r="V517" s="33" t="s">
        <v>569</v>
      </c>
    </row>
    <row r="518" spans="1:22" s="23" customFormat="1" ht="42.75" customHeight="1" x14ac:dyDescent="0.25">
      <c r="A518" s="25">
        <v>53</v>
      </c>
      <c r="B518" s="34" t="s">
        <v>592</v>
      </c>
      <c r="C518" s="25" t="s">
        <v>43</v>
      </c>
      <c r="D518" s="27" t="s">
        <v>366</v>
      </c>
      <c r="E518" s="27" t="s">
        <v>39</v>
      </c>
      <c r="F518" s="25" t="s">
        <v>44</v>
      </c>
      <c r="G518" s="28">
        <v>4</v>
      </c>
      <c r="H518" s="28">
        <v>3</v>
      </c>
      <c r="I518" s="29">
        <v>2077.6</v>
      </c>
      <c r="J518" s="29">
        <v>2038.9</v>
      </c>
      <c r="K518" s="29">
        <v>1994.4</v>
      </c>
      <c r="L518" s="30">
        <v>76</v>
      </c>
      <c r="M518" s="31">
        <f t="shared" si="113"/>
        <v>1751910</v>
      </c>
      <c r="N518" s="29">
        <v>0</v>
      </c>
      <c r="O518" s="29">
        <v>0</v>
      </c>
      <c r="P518" s="29">
        <v>0</v>
      </c>
      <c r="Q518" s="32">
        <f>'Таблица 3 '!C508</f>
        <v>1751910</v>
      </c>
      <c r="R518" s="29">
        <f t="shared" si="114"/>
        <v>1751910</v>
      </c>
      <c r="S518" s="29">
        <v>0</v>
      </c>
      <c r="T518" s="29">
        <f t="shared" si="115"/>
        <v>859.24272892245813</v>
      </c>
      <c r="U518" s="29">
        <f t="shared" si="116"/>
        <v>859.24272892245813</v>
      </c>
      <c r="V518" s="33" t="s">
        <v>569</v>
      </c>
    </row>
    <row r="519" spans="1:22" s="23" customFormat="1" ht="42.75" customHeight="1" x14ac:dyDescent="0.25">
      <c r="A519" s="25">
        <v>54</v>
      </c>
      <c r="B519" s="34" t="s">
        <v>128</v>
      </c>
      <c r="C519" s="25" t="s">
        <v>43</v>
      </c>
      <c r="D519" s="27" t="s">
        <v>129</v>
      </c>
      <c r="E519" s="27" t="s">
        <v>130</v>
      </c>
      <c r="F519" s="25" t="s">
        <v>44</v>
      </c>
      <c r="G519" s="28">
        <v>4</v>
      </c>
      <c r="H519" s="28">
        <v>6</v>
      </c>
      <c r="I519" s="29">
        <v>4579.7</v>
      </c>
      <c r="J519" s="29">
        <v>4405.5</v>
      </c>
      <c r="K519" s="29">
        <v>4234.3999999999996</v>
      </c>
      <c r="L519" s="30">
        <v>67</v>
      </c>
      <c r="M519" s="31">
        <f t="shared" si="113"/>
        <v>5840299.6600000001</v>
      </c>
      <c r="N519" s="29">
        <v>0</v>
      </c>
      <c r="O519" s="29">
        <v>0</v>
      </c>
      <c r="P519" s="29">
        <v>0</v>
      </c>
      <c r="Q519" s="32">
        <f>'Таблица 3 '!C509</f>
        <v>5840299.6600000001</v>
      </c>
      <c r="R519" s="29">
        <f t="shared" si="114"/>
        <v>5840299.6600000001</v>
      </c>
      <c r="S519" s="29">
        <v>0</v>
      </c>
      <c r="T519" s="29">
        <f t="shared" si="115"/>
        <v>1325.6837271592328</v>
      </c>
      <c r="U519" s="29">
        <f t="shared" si="116"/>
        <v>1325.6837271592328</v>
      </c>
      <c r="V519" s="33" t="s">
        <v>569</v>
      </c>
    </row>
    <row r="520" spans="1:22" s="23" customFormat="1" ht="42.75" customHeight="1" x14ac:dyDescent="0.25">
      <c r="A520" s="25">
        <v>55</v>
      </c>
      <c r="B520" s="34" t="s">
        <v>593</v>
      </c>
      <c r="C520" s="25" t="s">
        <v>43</v>
      </c>
      <c r="D520" s="27" t="s">
        <v>129</v>
      </c>
      <c r="E520" s="27" t="s">
        <v>39</v>
      </c>
      <c r="F520" s="25" t="s">
        <v>44</v>
      </c>
      <c r="G520" s="28">
        <v>4</v>
      </c>
      <c r="H520" s="28">
        <v>6</v>
      </c>
      <c r="I520" s="29">
        <v>4308.2</v>
      </c>
      <c r="J520" s="29">
        <v>4293.2</v>
      </c>
      <c r="K520" s="29">
        <v>3678.6</v>
      </c>
      <c r="L520" s="30">
        <v>68</v>
      </c>
      <c r="M520" s="31">
        <f t="shared" si="113"/>
        <v>1028916</v>
      </c>
      <c r="N520" s="29">
        <v>0</v>
      </c>
      <c r="O520" s="29">
        <v>0</v>
      </c>
      <c r="P520" s="29">
        <v>0</v>
      </c>
      <c r="Q520" s="32">
        <f>'Таблица 3 '!C510</f>
        <v>1028916</v>
      </c>
      <c r="R520" s="29">
        <f t="shared" si="114"/>
        <v>1028916</v>
      </c>
      <c r="S520" s="29">
        <v>0</v>
      </c>
      <c r="T520" s="29">
        <f t="shared" si="115"/>
        <v>239.66179073884283</v>
      </c>
      <c r="U520" s="29">
        <f t="shared" si="116"/>
        <v>239.66179073884283</v>
      </c>
      <c r="V520" s="33" t="s">
        <v>569</v>
      </c>
    </row>
    <row r="521" spans="1:22" s="23" customFormat="1" ht="42.75" customHeight="1" x14ac:dyDescent="0.25">
      <c r="A521" s="25">
        <v>56</v>
      </c>
      <c r="B521" s="34" t="s">
        <v>594</v>
      </c>
      <c r="C521" s="25" t="s">
        <v>43</v>
      </c>
      <c r="D521" s="27" t="s">
        <v>129</v>
      </c>
      <c r="E521" s="27" t="s">
        <v>39</v>
      </c>
      <c r="F521" s="25" t="s">
        <v>44</v>
      </c>
      <c r="G521" s="28">
        <v>4</v>
      </c>
      <c r="H521" s="28">
        <v>6</v>
      </c>
      <c r="I521" s="29">
        <v>3769.9</v>
      </c>
      <c r="J521" s="29">
        <v>3769.9</v>
      </c>
      <c r="K521" s="29">
        <v>3732.9</v>
      </c>
      <c r="L521" s="30">
        <v>71</v>
      </c>
      <c r="M521" s="31">
        <f t="shared" si="113"/>
        <v>1028916</v>
      </c>
      <c r="N521" s="29">
        <v>0</v>
      </c>
      <c r="O521" s="29">
        <v>0</v>
      </c>
      <c r="P521" s="29">
        <v>0</v>
      </c>
      <c r="Q521" s="32">
        <f>'Таблица 3 '!C511</f>
        <v>1028916</v>
      </c>
      <c r="R521" s="29">
        <f t="shared" si="114"/>
        <v>1028916</v>
      </c>
      <c r="S521" s="29">
        <v>0</v>
      </c>
      <c r="T521" s="29">
        <f t="shared" si="115"/>
        <v>272.92925541791561</v>
      </c>
      <c r="U521" s="29">
        <f t="shared" si="116"/>
        <v>272.92925541791561</v>
      </c>
      <c r="V521" s="33" t="s">
        <v>569</v>
      </c>
    </row>
    <row r="522" spans="1:22" s="23" customFormat="1" ht="42.75" customHeight="1" x14ac:dyDescent="0.25">
      <c r="A522" s="25">
        <v>57</v>
      </c>
      <c r="B522" s="34" t="s">
        <v>131</v>
      </c>
      <c r="C522" s="25" t="s">
        <v>43</v>
      </c>
      <c r="D522" s="27" t="s">
        <v>132</v>
      </c>
      <c r="E522" s="27" t="s">
        <v>39</v>
      </c>
      <c r="F522" s="25" t="s">
        <v>44</v>
      </c>
      <c r="G522" s="28">
        <v>5</v>
      </c>
      <c r="H522" s="28">
        <v>2</v>
      </c>
      <c r="I522" s="29">
        <v>1789.4</v>
      </c>
      <c r="J522" s="29">
        <v>1785.3</v>
      </c>
      <c r="K522" s="29">
        <v>1785.3</v>
      </c>
      <c r="L522" s="30">
        <v>77</v>
      </c>
      <c r="M522" s="31">
        <f t="shared" si="113"/>
        <v>6105235.8599999994</v>
      </c>
      <c r="N522" s="29">
        <v>0</v>
      </c>
      <c r="O522" s="29">
        <v>0</v>
      </c>
      <c r="P522" s="29">
        <v>0</v>
      </c>
      <c r="Q522" s="32">
        <f>'Таблица 3 '!C512</f>
        <v>6105235.8599999994</v>
      </c>
      <c r="R522" s="29">
        <f t="shared" si="114"/>
        <v>6105235.8599999994</v>
      </c>
      <c r="S522" s="29">
        <v>0</v>
      </c>
      <c r="T522" s="29">
        <f t="shared" si="115"/>
        <v>3419.7254579062342</v>
      </c>
      <c r="U522" s="29">
        <f t="shared" si="116"/>
        <v>3419.7254579062342</v>
      </c>
      <c r="V522" s="33" t="s">
        <v>569</v>
      </c>
    </row>
    <row r="523" spans="1:22" s="23" customFormat="1" ht="42.75" customHeight="1" x14ac:dyDescent="0.25">
      <c r="A523" s="25">
        <v>58</v>
      </c>
      <c r="B523" s="26" t="s">
        <v>595</v>
      </c>
      <c r="C523" s="25" t="s">
        <v>43</v>
      </c>
      <c r="D523" s="27" t="s">
        <v>378</v>
      </c>
      <c r="E523" s="27" t="s">
        <v>39</v>
      </c>
      <c r="F523" s="25" t="s">
        <v>44</v>
      </c>
      <c r="G523" s="28">
        <v>5</v>
      </c>
      <c r="H523" s="28">
        <v>8</v>
      </c>
      <c r="I523" s="29">
        <v>7256.8</v>
      </c>
      <c r="J523" s="29">
        <v>5593.5</v>
      </c>
      <c r="K523" s="29">
        <v>5247.2</v>
      </c>
      <c r="L523" s="30">
        <v>235</v>
      </c>
      <c r="M523" s="31">
        <f t="shared" si="113"/>
        <v>2138613.87</v>
      </c>
      <c r="N523" s="29">
        <v>0</v>
      </c>
      <c r="O523" s="29">
        <v>0</v>
      </c>
      <c r="P523" s="29">
        <v>0</v>
      </c>
      <c r="Q523" s="32">
        <f>'Таблица 3 '!C513</f>
        <v>2138613.87</v>
      </c>
      <c r="R523" s="29">
        <f t="shared" si="114"/>
        <v>2138613.87</v>
      </c>
      <c r="S523" s="29">
        <v>0</v>
      </c>
      <c r="T523" s="29">
        <f t="shared" si="115"/>
        <v>382.33912040761601</v>
      </c>
      <c r="U523" s="29">
        <f t="shared" si="116"/>
        <v>382.33912040761601</v>
      </c>
      <c r="V523" s="33" t="s">
        <v>569</v>
      </c>
    </row>
    <row r="524" spans="1:22" s="23" customFormat="1" ht="42.75" customHeight="1" x14ac:dyDescent="0.25">
      <c r="A524" s="25">
        <v>59</v>
      </c>
      <c r="B524" s="34" t="s">
        <v>136</v>
      </c>
      <c r="C524" s="25" t="s">
        <v>43</v>
      </c>
      <c r="D524" s="27" t="s">
        <v>137</v>
      </c>
      <c r="E524" s="27" t="s">
        <v>63</v>
      </c>
      <c r="F524" s="25" t="s">
        <v>44</v>
      </c>
      <c r="G524" s="28">
        <v>9</v>
      </c>
      <c r="H524" s="28">
        <v>1</v>
      </c>
      <c r="I524" s="29">
        <v>2776.7</v>
      </c>
      <c r="J524" s="29">
        <v>2774.4</v>
      </c>
      <c r="K524" s="29">
        <v>2139.6</v>
      </c>
      <c r="L524" s="30">
        <v>84</v>
      </c>
      <c r="M524" s="31">
        <f t="shared" si="113"/>
        <v>3695801.6</v>
      </c>
      <c r="N524" s="29">
        <v>0</v>
      </c>
      <c r="O524" s="29">
        <v>0</v>
      </c>
      <c r="P524" s="29">
        <v>0</v>
      </c>
      <c r="Q524" s="32">
        <f>'Таблица 3 '!C514</f>
        <v>3695801.6</v>
      </c>
      <c r="R524" s="29">
        <f t="shared" si="114"/>
        <v>3695801.6</v>
      </c>
      <c r="S524" s="29">
        <v>0</v>
      </c>
      <c r="T524" s="29">
        <f t="shared" si="115"/>
        <v>1332.1084198385236</v>
      </c>
      <c r="U524" s="29">
        <f t="shared" si="116"/>
        <v>1332.1084198385236</v>
      </c>
      <c r="V524" s="33" t="s">
        <v>569</v>
      </c>
    </row>
    <row r="525" spans="1:22" s="23" customFormat="1" ht="42.75" customHeight="1" x14ac:dyDescent="0.25">
      <c r="A525" s="25">
        <v>60</v>
      </c>
      <c r="B525" s="34" t="s">
        <v>138</v>
      </c>
      <c r="C525" s="25" t="s">
        <v>43</v>
      </c>
      <c r="D525" s="27" t="s">
        <v>126</v>
      </c>
      <c r="E525" s="27" t="s">
        <v>39</v>
      </c>
      <c r="F525" s="25" t="s">
        <v>44</v>
      </c>
      <c r="G525" s="28">
        <v>4</v>
      </c>
      <c r="H525" s="28">
        <v>2</v>
      </c>
      <c r="I525" s="29">
        <v>1259.7</v>
      </c>
      <c r="J525" s="29">
        <v>1266.5999999999999</v>
      </c>
      <c r="K525" s="29">
        <v>1213.0999999999999</v>
      </c>
      <c r="L525" s="30">
        <v>47</v>
      </c>
      <c r="M525" s="31">
        <f t="shared" si="113"/>
        <v>3911748.44</v>
      </c>
      <c r="N525" s="29">
        <v>0</v>
      </c>
      <c r="O525" s="29">
        <v>0</v>
      </c>
      <c r="P525" s="29">
        <v>0</v>
      </c>
      <c r="Q525" s="32">
        <f>'Таблица 3 '!C515</f>
        <v>3911748.44</v>
      </c>
      <c r="R525" s="29">
        <f t="shared" si="114"/>
        <v>3911748.44</v>
      </c>
      <c r="S525" s="29">
        <v>0</v>
      </c>
      <c r="T525" s="29">
        <f t="shared" si="115"/>
        <v>3088.3849992104851</v>
      </c>
      <c r="U525" s="29">
        <f t="shared" si="116"/>
        <v>3088.3849992104851</v>
      </c>
      <c r="V525" s="33" t="s">
        <v>569</v>
      </c>
    </row>
    <row r="526" spans="1:22" s="23" customFormat="1" ht="42.75" customHeight="1" x14ac:dyDescent="0.25">
      <c r="A526" s="25">
        <v>61</v>
      </c>
      <c r="B526" s="34" t="s">
        <v>146</v>
      </c>
      <c r="C526" s="25" t="s">
        <v>43</v>
      </c>
      <c r="D526" s="27" t="s">
        <v>147</v>
      </c>
      <c r="E526" s="27" t="s">
        <v>39</v>
      </c>
      <c r="F526" s="25" t="s">
        <v>44</v>
      </c>
      <c r="G526" s="28">
        <v>5</v>
      </c>
      <c r="H526" s="28">
        <v>6</v>
      </c>
      <c r="I526" s="29">
        <v>4515.7</v>
      </c>
      <c r="J526" s="29">
        <v>4469.6000000000004</v>
      </c>
      <c r="K526" s="29">
        <v>4332.3999999999996</v>
      </c>
      <c r="L526" s="30">
        <v>184</v>
      </c>
      <c r="M526" s="31">
        <f t="shared" si="113"/>
        <v>23522881.729999997</v>
      </c>
      <c r="N526" s="29">
        <v>0</v>
      </c>
      <c r="O526" s="29">
        <v>0</v>
      </c>
      <c r="P526" s="29">
        <v>0</v>
      </c>
      <c r="Q526" s="32">
        <f>'Таблица 3 '!C516</f>
        <v>23522881.729999997</v>
      </c>
      <c r="R526" s="29">
        <f t="shared" si="114"/>
        <v>23522881.729999997</v>
      </c>
      <c r="S526" s="29">
        <v>0</v>
      </c>
      <c r="T526" s="29">
        <f t="shared" si="115"/>
        <v>5262.8605982638255</v>
      </c>
      <c r="U526" s="29">
        <f t="shared" si="116"/>
        <v>5262.8605982638255</v>
      </c>
      <c r="V526" s="33" t="s">
        <v>569</v>
      </c>
    </row>
    <row r="527" spans="1:22" s="23" customFormat="1" ht="42.75" customHeight="1" x14ac:dyDescent="0.25">
      <c r="A527" s="25">
        <v>62</v>
      </c>
      <c r="B527" s="37" t="s">
        <v>148</v>
      </c>
      <c r="C527" s="25" t="s">
        <v>43</v>
      </c>
      <c r="D527" s="27" t="s">
        <v>114</v>
      </c>
      <c r="E527" s="27">
        <v>2025</v>
      </c>
      <c r="F527" s="25" t="s">
        <v>44</v>
      </c>
      <c r="G527" s="28">
        <v>5</v>
      </c>
      <c r="H527" s="28">
        <v>6</v>
      </c>
      <c r="I527" s="29">
        <v>4546.1000000000004</v>
      </c>
      <c r="J527" s="29">
        <v>4505.3999999999996</v>
      </c>
      <c r="K527" s="29">
        <v>4458.5</v>
      </c>
      <c r="L527" s="30">
        <v>177</v>
      </c>
      <c r="M527" s="31">
        <f t="shared" si="113"/>
        <v>15333040.25</v>
      </c>
      <c r="N527" s="29">
        <v>0</v>
      </c>
      <c r="O527" s="29">
        <v>0</v>
      </c>
      <c r="P527" s="29">
        <v>0</v>
      </c>
      <c r="Q527" s="32">
        <f>'Таблица 3 '!C517</f>
        <v>15333040.25</v>
      </c>
      <c r="R527" s="29">
        <f t="shared" si="114"/>
        <v>15333040.25</v>
      </c>
      <c r="S527" s="29">
        <v>0</v>
      </c>
      <c r="T527" s="29">
        <f t="shared" si="115"/>
        <v>3403.2583677364942</v>
      </c>
      <c r="U527" s="29">
        <f t="shared" si="116"/>
        <v>3403.2583677364942</v>
      </c>
      <c r="V527" s="33" t="s">
        <v>569</v>
      </c>
    </row>
    <row r="528" spans="1:22" s="23" customFormat="1" ht="42.75" customHeight="1" x14ac:dyDescent="0.25">
      <c r="A528" s="25">
        <v>63</v>
      </c>
      <c r="B528" s="37" t="s">
        <v>596</v>
      </c>
      <c r="C528" s="25" t="s">
        <v>43</v>
      </c>
      <c r="D528" s="27" t="s">
        <v>195</v>
      </c>
      <c r="E528" s="27" t="s">
        <v>39</v>
      </c>
      <c r="F528" s="25" t="s">
        <v>44</v>
      </c>
      <c r="G528" s="28">
        <v>2</v>
      </c>
      <c r="H528" s="28">
        <v>2</v>
      </c>
      <c r="I528" s="29">
        <v>555.6</v>
      </c>
      <c r="J528" s="29">
        <v>550.1</v>
      </c>
      <c r="K528" s="29">
        <v>550.1</v>
      </c>
      <c r="L528" s="30">
        <v>45</v>
      </c>
      <c r="M528" s="31">
        <f t="shared" si="113"/>
        <v>5329185.7300000004</v>
      </c>
      <c r="N528" s="29">
        <v>0</v>
      </c>
      <c r="O528" s="29">
        <v>0</v>
      </c>
      <c r="P528" s="29">
        <v>0</v>
      </c>
      <c r="Q528" s="32">
        <f>'Таблица 3 '!C518</f>
        <v>5329185.7300000004</v>
      </c>
      <c r="R528" s="29">
        <f t="shared" si="114"/>
        <v>5329185.7300000004</v>
      </c>
      <c r="S528" s="29">
        <v>0</v>
      </c>
      <c r="T528" s="29">
        <f t="shared" si="115"/>
        <v>9687.6672059625525</v>
      </c>
      <c r="U528" s="29">
        <f t="shared" si="116"/>
        <v>9687.6672059625525</v>
      </c>
      <c r="V528" s="33" t="s">
        <v>569</v>
      </c>
    </row>
    <row r="529" spans="1:23" s="23" customFormat="1" ht="42.75" customHeight="1" x14ac:dyDescent="0.25">
      <c r="A529" s="25">
        <v>64</v>
      </c>
      <c r="B529" s="26" t="s">
        <v>156</v>
      </c>
      <c r="C529" s="25" t="s">
        <v>43</v>
      </c>
      <c r="D529" s="25">
        <v>1997</v>
      </c>
      <c r="E529" s="27" t="s">
        <v>39</v>
      </c>
      <c r="F529" s="25" t="s">
        <v>77</v>
      </c>
      <c r="G529" s="28">
        <v>9</v>
      </c>
      <c r="H529" s="28">
        <v>1</v>
      </c>
      <c r="I529" s="32">
        <v>6925.2</v>
      </c>
      <c r="J529" s="32">
        <v>4721.3999999999996</v>
      </c>
      <c r="K529" s="32">
        <v>3305.8</v>
      </c>
      <c r="L529" s="35">
        <v>116</v>
      </c>
      <c r="M529" s="31">
        <f t="shared" si="113"/>
        <v>10576704.02</v>
      </c>
      <c r="N529" s="29">
        <v>0</v>
      </c>
      <c r="O529" s="29">
        <v>0</v>
      </c>
      <c r="P529" s="29">
        <v>0</v>
      </c>
      <c r="Q529" s="32">
        <f>'Таблица 3 '!C519</f>
        <v>10576704.02</v>
      </c>
      <c r="R529" s="29">
        <f t="shared" si="114"/>
        <v>10576704.02</v>
      </c>
      <c r="S529" s="32">
        <v>0</v>
      </c>
      <c r="T529" s="29">
        <f t="shared" si="115"/>
        <v>2240.1626678527555</v>
      </c>
      <c r="U529" s="29">
        <f t="shared" si="116"/>
        <v>2240.1626678527555</v>
      </c>
      <c r="V529" s="33" t="s">
        <v>569</v>
      </c>
    </row>
    <row r="530" spans="1:23" s="23" customFormat="1" ht="42.75" customHeight="1" x14ac:dyDescent="0.25">
      <c r="A530" s="25">
        <v>65</v>
      </c>
      <c r="B530" s="26" t="s">
        <v>597</v>
      </c>
      <c r="C530" s="25" t="s">
        <v>43</v>
      </c>
      <c r="D530" s="25">
        <v>1971</v>
      </c>
      <c r="E530" s="27" t="s">
        <v>39</v>
      </c>
      <c r="F530" s="25" t="s">
        <v>77</v>
      </c>
      <c r="G530" s="28">
        <v>5</v>
      </c>
      <c r="H530" s="28">
        <v>4</v>
      </c>
      <c r="I530" s="32">
        <v>4688.1000000000004</v>
      </c>
      <c r="J530" s="32">
        <v>4336.3999999999996</v>
      </c>
      <c r="K530" s="32">
        <v>2623</v>
      </c>
      <c r="L530" s="35">
        <v>88</v>
      </c>
      <c r="M530" s="31">
        <f t="shared" ref="M530:M593" si="117">SUM(N530:Q530)</f>
        <v>30593641.459999997</v>
      </c>
      <c r="N530" s="29">
        <v>0</v>
      </c>
      <c r="O530" s="29">
        <v>0</v>
      </c>
      <c r="P530" s="29">
        <v>0</v>
      </c>
      <c r="Q530" s="32">
        <f>'Таблица 3 '!C520</f>
        <v>30593641.459999997</v>
      </c>
      <c r="R530" s="29">
        <f t="shared" ref="R530:R593" si="118">Q530</f>
        <v>30593641.459999997</v>
      </c>
      <c r="S530" s="32">
        <v>0</v>
      </c>
      <c r="T530" s="29">
        <f t="shared" si="115"/>
        <v>7055.0782815238445</v>
      </c>
      <c r="U530" s="29">
        <f t="shared" si="116"/>
        <v>7055.0782815238445</v>
      </c>
      <c r="V530" s="33" t="s">
        <v>569</v>
      </c>
    </row>
    <row r="531" spans="1:23" s="23" customFormat="1" ht="42.75" customHeight="1" x14ac:dyDescent="0.25">
      <c r="A531" s="25">
        <v>66</v>
      </c>
      <c r="B531" s="37" t="s">
        <v>161</v>
      </c>
      <c r="C531" s="25" t="s">
        <v>43</v>
      </c>
      <c r="D531" s="27" t="s">
        <v>79</v>
      </c>
      <c r="E531" s="27" t="s">
        <v>70</v>
      </c>
      <c r="F531" s="25" t="s">
        <v>44</v>
      </c>
      <c r="G531" s="28">
        <v>9</v>
      </c>
      <c r="H531" s="28">
        <v>8</v>
      </c>
      <c r="I531" s="29">
        <v>5087.7</v>
      </c>
      <c r="J531" s="29">
        <v>7642.7</v>
      </c>
      <c r="K531" s="29">
        <v>6843.1</v>
      </c>
      <c r="L531" s="30">
        <v>243</v>
      </c>
      <c r="M531" s="31">
        <f t="shared" si="117"/>
        <v>43957015.009999998</v>
      </c>
      <c r="N531" s="29">
        <v>0</v>
      </c>
      <c r="O531" s="29">
        <v>0</v>
      </c>
      <c r="P531" s="29">
        <v>0</v>
      </c>
      <c r="Q531" s="32">
        <f>'Таблица 3 '!C521</f>
        <v>43957015.009999998</v>
      </c>
      <c r="R531" s="29">
        <f t="shared" si="118"/>
        <v>43957015.009999998</v>
      </c>
      <c r="S531" s="29">
        <v>0</v>
      </c>
      <c r="T531" s="29">
        <f t="shared" si="115"/>
        <v>5751.5033967053523</v>
      </c>
      <c r="U531" s="29">
        <f t="shared" si="116"/>
        <v>5751.5033967053523</v>
      </c>
      <c r="V531" s="33" t="s">
        <v>569</v>
      </c>
    </row>
    <row r="532" spans="1:23" s="23" customFormat="1" ht="42.75" customHeight="1" x14ac:dyDescent="0.25">
      <c r="A532" s="25">
        <v>67</v>
      </c>
      <c r="B532" s="26" t="s">
        <v>162</v>
      </c>
      <c r="C532" s="25" t="s">
        <v>43</v>
      </c>
      <c r="D532" s="27" t="s">
        <v>163</v>
      </c>
      <c r="E532" s="27" t="s">
        <v>39</v>
      </c>
      <c r="F532" s="25" t="s">
        <v>44</v>
      </c>
      <c r="G532" s="28">
        <v>3</v>
      </c>
      <c r="H532" s="28">
        <v>2</v>
      </c>
      <c r="I532" s="29">
        <v>1323.6</v>
      </c>
      <c r="J532" s="29">
        <v>1087.9000000000001</v>
      </c>
      <c r="K532" s="29">
        <v>812.35</v>
      </c>
      <c r="L532" s="30">
        <v>49</v>
      </c>
      <c r="M532" s="31">
        <f t="shared" si="117"/>
        <v>5043925.03</v>
      </c>
      <c r="N532" s="29">
        <v>0</v>
      </c>
      <c r="O532" s="29">
        <v>0</v>
      </c>
      <c r="P532" s="29">
        <v>0</v>
      </c>
      <c r="Q532" s="32">
        <f>'Таблица 3 '!C522</f>
        <v>5043925.03</v>
      </c>
      <c r="R532" s="29">
        <f t="shared" si="118"/>
        <v>5043925.03</v>
      </c>
      <c r="S532" s="29">
        <v>0</v>
      </c>
      <c r="T532" s="29">
        <f t="shared" si="115"/>
        <v>4636.3866439930143</v>
      </c>
      <c r="U532" s="29">
        <f t="shared" si="116"/>
        <v>4636.3866439930143</v>
      </c>
      <c r="V532" s="33" t="s">
        <v>569</v>
      </c>
    </row>
    <row r="533" spans="1:23" s="23" customFormat="1" ht="42.75" customHeight="1" x14ac:dyDescent="0.25">
      <c r="A533" s="25">
        <v>68</v>
      </c>
      <c r="B533" s="37" t="s">
        <v>165</v>
      </c>
      <c r="C533" s="25" t="s">
        <v>43</v>
      </c>
      <c r="D533" s="25">
        <v>1995</v>
      </c>
      <c r="E533" s="27" t="s">
        <v>39</v>
      </c>
      <c r="F533" s="25" t="s">
        <v>48</v>
      </c>
      <c r="G533" s="28">
        <v>5</v>
      </c>
      <c r="H533" s="28">
        <v>2</v>
      </c>
      <c r="I533" s="29">
        <v>3251.9</v>
      </c>
      <c r="J533" s="29">
        <v>3251.8</v>
      </c>
      <c r="K533" s="29">
        <v>2699.7</v>
      </c>
      <c r="L533" s="30">
        <v>168</v>
      </c>
      <c r="M533" s="31">
        <f t="shared" si="117"/>
        <v>7419736.3299999991</v>
      </c>
      <c r="N533" s="29">
        <v>0</v>
      </c>
      <c r="O533" s="29">
        <v>0</v>
      </c>
      <c r="P533" s="29">
        <v>0</v>
      </c>
      <c r="Q533" s="32">
        <f>'Таблица 3 '!C523</f>
        <v>7419736.3299999991</v>
      </c>
      <c r="R533" s="29">
        <f t="shared" si="118"/>
        <v>7419736.3299999991</v>
      </c>
      <c r="S533" s="29">
        <v>0</v>
      </c>
      <c r="T533" s="29">
        <f t="shared" ref="T533:T596" si="119">M533/J533</f>
        <v>2281.7320653176698</v>
      </c>
      <c r="U533" s="29">
        <f t="shared" ref="U533:U596" si="120">T533</f>
        <v>2281.7320653176698</v>
      </c>
      <c r="V533" s="33" t="s">
        <v>569</v>
      </c>
    </row>
    <row r="534" spans="1:23" s="23" customFormat="1" ht="42.75" customHeight="1" x14ac:dyDescent="0.25">
      <c r="A534" s="25">
        <v>69</v>
      </c>
      <c r="B534" s="37" t="s">
        <v>166</v>
      </c>
      <c r="C534" s="25" t="s">
        <v>43</v>
      </c>
      <c r="D534" s="25">
        <v>1973</v>
      </c>
      <c r="E534" s="27" t="s">
        <v>39</v>
      </c>
      <c r="F534" s="25" t="s">
        <v>48</v>
      </c>
      <c r="G534" s="28">
        <v>5</v>
      </c>
      <c r="H534" s="28">
        <v>4</v>
      </c>
      <c r="I534" s="29">
        <v>3549</v>
      </c>
      <c r="J534" s="29">
        <v>3519.7</v>
      </c>
      <c r="K534" s="29">
        <v>3419.1</v>
      </c>
      <c r="L534" s="30">
        <v>190</v>
      </c>
      <c r="M534" s="31">
        <f t="shared" si="117"/>
        <v>8345095.3099999996</v>
      </c>
      <c r="N534" s="29">
        <v>0</v>
      </c>
      <c r="O534" s="29">
        <v>0</v>
      </c>
      <c r="P534" s="29">
        <v>0</v>
      </c>
      <c r="Q534" s="32">
        <f>'Таблица 3 '!C524</f>
        <v>8345095.3099999996</v>
      </c>
      <c r="R534" s="29">
        <f t="shared" si="118"/>
        <v>8345095.3099999996</v>
      </c>
      <c r="S534" s="29">
        <v>0</v>
      </c>
      <c r="T534" s="29">
        <f t="shared" si="119"/>
        <v>2370.9677841861521</v>
      </c>
      <c r="U534" s="29">
        <f t="shared" si="120"/>
        <v>2370.9677841861521</v>
      </c>
      <c r="V534" s="33" t="s">
        <v>569</v>
      </c>
    </row>
    <row r="535" spans="1:23" s="23" customFormat="1" ht="42.75" customHeight="1" x14ac:dyDescent="0.25">
      <c r="A535" s="25">
        <v>70</v>
      </c>
      <c r="B535" s="26" t="s">
        <v>598</v>
      </c>
      <c r="C535" s="25" t="s">
        <v>43</v>
      </c>
      <c r="D535" s="27" t="s">
        <v>168</v>
      </c>
      <c r="E535" s="27" t="s">
        <v>39</v>
      </c>
      <c r="F535" s="25" t="s">
        <v>48</v>
      </c>
      <c r="G535" s="28">
        <v>5</v>
      </c>
      <c r="H535" s="28">
        <v>5</v>
      </c>
      <c r="I535" s="29">
        <v>4458.5</v>
      </c>
      <c r="J535" s="29">
        <v>4441.5</v>
      </c>
      <c r="K535" s="29">
        <v>4369.8</v>
      </c>
      <c r="L535" s="30">
        <v>182</v>
      </c>
      <c r="M535" s="31">
        <f t="shared" si="117"/>
        <v>7304910.2400000002</v>
      </c>
      <c r="N535" s="29">
        <v>0</v>
      </c>
      <c r="O535" s="29">
        <v>0</v>
      </c>
      <c r="P535" s="29">
        <v>0</v>
      </c>
      <c r="Q535" s="32">
        <f>'Таблица 3 '!C525</f>
        <v>7304910.2400000002</v>
      </c>
      <c r="R535" s="29">
        <f t="shared" si="118"/>
        <v>7304910.2400000002</v>
      </c>
      <c r="S535" s="32">
        <v>0</v>
      </c>
      <c r="T535" s="29">
        <f t="shared" si="119"/>
        <v>1644.6944140493076</v>
      </c>
      <c r="U535" s="29">
        <f t="shared" si="120"/>
        <v>1644.6944140493076</v>
      </c>
      <c r="V535" s="33" t="s">
        <v>569</v>
      </c>
    </row>
    <row r="536" spans="1:23" s="23" customFormat="1" ht="42.75" customHeight="1" x14ac:dyDescent="0.25">
      <c r="A536" s="25">
        <v>71</v>
      </c>
      <c r="B536" s="26" t="s">
        <v>599</v>
      </c>
      <c r="C536" s="25" t="s">
        <v>43</v>
      </c>
      <c r="D536" s="27" t="s">
        <v>170</v>
      </c>
      <c r="E536" s="27" t="s">
        <v>39</v>
      </c>
      <c r="F536" s="25" t="s">
        <v>48</v>
      </c>
      <c r="G536" s="28">
        <v>5</v>
      </c>
      <c r="H536" s="28">
        <v>6</v>
      </c>
      <c r="I536" s="29">
        <v>6700.2</v>
      </c>
      <c r="J536" s="29">
        <v>6686.9</v>
      </c>
      <c r="K536" s="29">
        <v>5877.6</v>
      </c>
      <c r="L536" s="30">
        <v>250</v>
      </c>
      <c r="M536" s="31">
        <f t="shared" si="117"/>
        <v>36232469.32</v>
      </c>
      <c r="N536" s="29">
        <v>0</v>
      </c>
      <c r="O536" s="29">
        <v>0</v>
      </c>
      <c r="P536" s="29">
        <v>0</v>
      </c>
      <c r="Q536" s="32">
        <f>'Таблица 3 '!C526</f>
        <v>36232469.32</v>
      </c>
      <c r="R536" s="29">
        <f t="shared" si="118"/>
        <v>36232469.32</v>
      </c>
      <c r="S536" s="32">
        <v>0</v>
      </c>
      <c r="T536" s="29">
        <f t="shared" si="119"/>
        <v>5418.4254766782815</v>
      </c>
      <c r="U536" s="29">
        <f t="shared" si="120"/>
        <v>5418.4254766782815</v>
      </c>
      <c r="V536" s="33" t="s">
        <v>569</v>
      </c>
    </row>
    <row r="537" spans="1:23" s="23" customFormat="1" ht="42.75" customHeight="1" x14ac:dyDescent="0.25">
      <c r="A537" s="25">
        <v>72</v>
      </c>
      <c r="B537" s="26" t="s">
        <v>171</v>
      </c>
      <c r="C537" s="25" t="s">
        <v>43</v>
      </c>
      <c r="D537" s="27" t="s">
        <v>168</v>
      </c>
      <c r="E537" s="27" t="s">
        <v>39</v>
      </c>
      <c r="F537" s="25" t="s">
        <v>48</v>
      </c>
      <c r="G537" s="28">
        <v>5</v>
      </c>
      <c r="H537" s="28">
        <v>6</v>
      </c>
      <c r="I537" s="29">
        <v>5866.4</v>
      </c>
      <c r="J537" s="29">
        <v>5742.8</v>
      </c>
      <c r="K537" s="29">
        <v>5694.1</v>
      </c>
      <c r="L537" s="30">
        <v>268</v>
      </c>
      <c r="M537" s="31">
        <f t="shared" si="117"/>
        <v>589435</v>
      </c>
      <c r="N537" s="29">
        <v>0</v>
      </c>
      <c r="O537" s="29">
        <v>0</v>
      </c>
      <c r="P537" s="29">
        <v>0</v>
      </c>
      <c r="Q537" s="32">
        <f>'Таблица 3 '!C527</f>
        <v>589435</v>
      </c>
      <c r="R537" s="29">
        <f t="shared" si="118"/>
        <v>589435</v>
      </c>
      <c r="S537" s="29">
        <v>0</v>
      </c>
      <c r="T537" s="29">
        <f t="shared" si="119"/>
        <v>102.6389566065334</v>
      </c>
      <c r="U537" s="29">
        <f t="shared" si="120"/>
        <v>102.6389566065334</v>
      </c>
      <c r="V537" s="33" t="s">
        <v>569</v>
      </c>
    </row>
    <row r="538" spans="1:23" s="23" customFormat="1" ht="42.75" customHeight="1" x14ac:dyDescent="0.25">
      <c r="A538" s="25">
        <v>73</v>
      </c>
      <c r="B538" s="26" t="s">
        <v>600</v>
      </c>
      <c r="C538" s="25" t="s">
        <v>43</v>
      </c>
      <c r="D538" s="27" t="s">
        <v>135</v>
      </c>
      <c r="E538" s="27" t="s">
        <v>39</v>
      </c>
      <c r="F538" s="25" t="s">
        <v>77</v>
      </c>
      <c r="G538" s="28">
        <v>5</v>
      </c>
      <c r="H538" s="28">
        <v>8</v>
      </c>
      <c r="I538" s="29">
        <v>6053.8</v>
      </c>
      <c r="J538" s="29">
        <v>6053.8</v>
      </c>
      <c r="K538" s="29">
        <v>5869.5</v>
      </c>
      <c r="L538" s="30">
        <v>265</v>
      </c>
      <c r="M538" s="31">
        <f t="shared" si="117"/>
        <v>700764</v>
      </c>
      <c r="N538" s="29">
        <v>0</v>
      </c>
      <c r="O538" s="29">
        <v>0</v>
      </c>
      <c r="P538" s="29">
        <v>0</v>
      </c>
      <c r="Q538" s="32">
        <f>'Таблица 3 '!C528</f>
        <v>700764</v>
      </c>
      <c r="R538" s="29">
        <f t="shared" si="118"/>
        <v>700764</v>
      </c>
      <c r="S538" s="32">
        <v>0</v>
      </c>
      <c r="T538" s="29">
        <f t="shared" si="119"/>
        <v>115.75605404869668</v>
      </c>
      <c r="U538" s="29">
        <f t="shared" si="120"/>
        <v>115.75605404869668</v>
      </c>
      <c r="V538" s="33" t="s">
        <v>569</v>
      </c>
    </row>
    <row r="539" spans="1:23" s="23" customFormat="1" ht="42.75" customHeight="1" x14ac:dyDescent="0.25">
      <c r="A539" s="25">
        <v>74</v>
      </c>
      <c r="B539" s="26" t="s">
        <v>601</v>
      </c>
      <c r="C539" s="25" t="s">
        <v>43</v>
      </c>
      <c r="D539" s="27" t="s">
        <v>602</v>
      </c>
      <c r="E539" s="27" t="s">
        <v>39</v>
      </c>
      <c r="F539" s="25" t="s">
        <v>77</v>
      </c>
      <c r="G539" s="28">
        <v>13</v>
      </c>
      <c r="H539" s="28">
        <v>2</v>
      </c>
      <c r="I539" s="29">
        <v>9676.1</v>
      </c>
      <c r="J539" s="29">
        <v>6957.5</v>
      </c>
      <c r="K539" s="29">
        <v>6957.5</v>
      </c>
      <c r="L539" s="30">
        <v>116</v>
      </c>
      <c r="M539" s="31">
        <f t="shared" si="117"/>
        <v>38153419.770000003</v>
      </c>
      <c r="N539" s="29">
        <v>0</v>
      </c>
      <c r="O539" s="29">
        <v>0</v>
      </c>
      <c r="P539" s="29">
        <v>0</v>
      </c>
      <c r="Q539" s="32">
        <f>'Таблица 3 '!C529</f>
        <v>38153419.770000003</v>
      </c>
      <c r="R539" s="29">
        <f t="shared" si="118"/>
        <v>38153419.770000003</v>
      </c>
      <c r="S539" s="32">
        <v>0</v>
      </c>
      <c r="T539" s="29">
        <f t="shared" si="119"/>
        <v>5483.7829349622716</v>
      </c>
      <c r="U539" s="29">
        <f t="shared" si="120"/>
        <v>5483.7829349622716</v>
      </c>
      <c r="V539" s="33" t="s">
        <v>569</v>
      </c>
    </row>
    <row r="540" spans="1:23" s="23" customFormat="1" ht="42.75" customHeight="1" x14ac:dyDescent="0.25">
      <c r="A540" s="25">
        <v>75</v>
      </c>
      <c r="B540" s="26" t="s">
        <v>174</v>
      </c>
      <c r="C540" s="25" t="s">
        <v>43</v>
      </c>
      <c r="D540" s="25">
        <v>1978</v>
      </c>
      <c r="E540" s="27" t="s">
        <v>39</v>
      </c>
      <c r="F540" s="25" t="s">
        <v>77</v>
      </c>
      <c r="G540" s="28">
        <v>5</v>
      </c>
      <c r="H540" s="28">
        <v>4</v>
      </c>
      <c r="I540" s="32">
        <v>3312.2</v>
      </c>
      <c r="J540" s="32">
        <v>3374</v>
      </c>
      <c r="K540" s="32">
        <v>3160.4</v>
      </c>
      <c r="L540" s="35">
        <v>124</v>
      </c>
      <c r="M540" s="31">
        <f t="shared" si="117"/>
        <v>9170347.7799999993</v>
      </c>
      <c r="N540" s="29">
        <v>0</v>
      </c>
      <c r="O540" s="29">
        <v>0</v>
      </c>
      <c r="P540" s="29">
        <v>0</v>
      </c>
      <c r="Q540" s="32">
        <f>'Таблица 3 '!C530</f>
        <v>9170347.7799999993</v>
      </c>
      <c r="R540" s="29">
        <f t="shared" si="118"/>
        <v>9170347.7799999993</v>
      </c>
      <c r="S540" s="32">
        <v>0</v>
      </c>
      <c r="T540" s="29">
        <f t="shared" si="119"/>
        <v>2717.9454001185536</v>
      </c>
      <c r="U540" s="29">
        <f t="shared" si="120"/>
        <v>2717.9454001185536</v>
      </c>
      <c r="V540" s="33" t="s">
        <v>569</v>
      </c>
    </row>
    <row r="541" spans="1:23" s="23" customFormat="1" ht="42.75" customHeight="1" x14ac:dyDescent="0.25">
      <c r="A541" s="25">
        <v>76</v>
      </c>
      <c r="B541" s="34" t="s">
        <v>177</v>
      </c>
      <c r="C541" s="25" t="s">
        <v>43</v>
      </c>
      <c r="D541" s="27">
        <v>1979</v>
      </c>
      <c r="E541" s="27" t="s">
        <v>39</v>
      </c>
      <c r="F541" s="25" t="s">
        <v>48</v>
      </c>
      <c r="G541" s="28">
        <v>5</v>
      </c>
      <c r="H541" s="28">
        <v>4</v>
      </c>
      <c r="I541" s="29">
        <v>4731.8999999999996</v>
      </c>
      <c r="J541" s="29">
        <v>3440.9</v>
      </c>
      <c r="K541" s="29">
        <v>3396.4</v>
      </c>
      <c r="L541" s="30">
        <v>172</v>
      </c>
      <c r="M541" s="31">
        <f t="shared" si="117"/>
        <v>12860270.300000001</v>
      </c>
      <c r="N541" s="29">
        <v>0</v>
      </c>
      <c r="O541" s="29">
        <v>0</v>
      </c>
      <c r="P541" s="29">
        <v>0</v>
      </c>
      <c r="Q541" s="32">
        <f>'Таблица 3 '!C531</f>
        <v>12860270.300000001</v>
      </c>
      <c r="R541" s="29">
        <f t="shared" si="118"/>
        <v>12860270.300000001</v>
      </c>
      <c r="S541" s="29">
        <v>0</v>
      </c>
      <c r="T541" s="29">
        <f t="shared" si="119"/>
        <v>3737.4728414077713</v>
      </c>
      <c r="U541" s="29">
        <f t="shared" si="120"/>
        <v>3737.4728414077713</v>
      </c>
      <c r="V541" s="33" t="s">
        <v>569</v>
      </c>
    </row>
    <row r="542" spans="1:23" s="23" customFormat="1" ht="42.75" customHeight="1" x14ac:dyDescent="0.25">
      <c r="A542" s="25">
        <v>77</v>
      </c>
      <c r="B542" s="26" t="s">
        <v>178</v>
      </c>
      <c r="C542" s="25" t="s">
        <v>43</v>
      </c>
      <c r="D542" s="25">
        <v>1977</v>
      </c>
      <c r="E542" s="27" t="s">
        <v>70</v>
      </c>
      <c r="F542" s="25" t="s">
        <v>48</v>
      </c>
      <c r="G542" s="28">
        <v>5</v>
      </c>
      <c r="H542" s="28">
        <v>4</v>
      </c>
      <c r="I542" s="29">
        <v>4698.3</v>
      </c>
      <c r="J542" s="29">
        <v>3682.8</v>
      </c>
      <c r="K542" s="29">
        <v>3587.1</v>
      </c>
      <c r="L542" s="30">
        <v>86</v>
      </c>
      <c r="M542" s="31">
        <f t="shared" si="117"/>
        <v>5508763.9299999997</v>
      </c>
      <c r="N542" s="29">
        <v>0</v>
      </c>
      <c r="O542" s="29">
        <v>0</v>
      </c>
      <c r="P542" s="29">
        <v>0</v>
      </c>
      <c r="Q542" s="32">
        <f>'Таблица 3 '!C532</f>
        <v>5508763.9299999997</v>
      </c>
      <c r="R542" s="29">
        <f t="shared" si="118"/>
        <v>5508763.9299999997</v>
      </c>
      <c r="S542" s="29">
        <v>0</v>
      </c>
      <c r="T542" s="29">
        <f t="shared" si="119"/>
        <v>1495.8086048658627</v>
      </c>
      <c r="U542" s="29">
        <f t="shared" si="120"/>
        <v>1495.8086048658627</v>
      </c>
      <c r="V542" s="33" t="s">
        <v>569</v>
      </c>
    </row>
    <row r="543" spans="1:23" s="23" customFormat="1" ht="42.75" customHeight="1" x14ac:dyDescent="0.25">
      <c r="A543" s="25">
        <v>78</v>
      </c>
      <c r="B543" s="34" t="s">
        <v>179</v>
      </c>
      <c r="C543" s="25" t="s">
        <v>43</v>
      </c>
      <c r="D543" s="25">
        <v>1973</v>
      </c>
      <c r="E543" s="27" t="s">
        <v>39</v>
      </c>
      <c r="F543" s="25" t="s">
        <v>48</v>
      </c>
      <c r="G543" s="28">
        <v>5</v>
      </c>
      <c r="H543" s="28">
        <v>4</v>
      </c>
      <c r="I543" s="29">
        <v>4374.1000000000004</v>
      </c>
      <c r="J543" s="29">
        <v>3351.7</v>
      </c>
      <c r="K543" s="29">
        <v>3236</v>
      </c>
      <c r="L543" s="30">
        <v>73</v>
      </c>
      <c r="M543" s="31">
        <f t="shared" si="117"/>
        <v>17812087.460000001</v>
      </c>
      <c r="N543" s="29">
        <v>0</v>
      </c>
      <c r="O543" s="29">
        <v>0</v>
      </c>
      <c r="P543" s="29">
        <v>0</v>
      </c>
      <c r="Q543" s="32">
        <f>'Таблица 3 '!C533</f>
        <v>17812087.460000001</v>
      </c>
      <c r="R543" s="29">
        <f t="shared" si="118"/>
        <v>17812087.460000001</v>
      </c>
      <c r="S543" s="32">
        <v>0</v>
      </c>
      <c r="T543" s="29">
        <f t="shared" si="119"/>
        <v>5314.3442014500106</v>
      </c>
      <c r="U543" s="29">
        <f t="shared" si="120"/>
        <v>5314.3442014500106</v>
      </c>
      <c r="V543" s="33" t="s">
        <v>569</v>
      </c>
    </row>
    <row r="544" spans="1:23" s="108" customFormat="1" ht="42.75" customHeight="1" x14ac:dyDescent="0.25">
      <c r="A544" s="25">
        <v>79</v>
      </c>
      <c r="B544" s="26" t="s">
        <v>180</v>
      </c>
      <c r="C544" s="25" t="s">
        <v>43</v>
      </c>
      <c r="D544" s="25">
        <v>1991</v>
      </c>
      <c r="E544" s="27" t="s">
        <v>39</v>
      </c>
      <c r="F544" s="25" t="s">
        <v>48</v>
      </c>
      <c r="G544" s="28">
        <v>5</v>
      </c>
      <c r="H544" s="28">
        <v>3</v>
      </c>
      <c r="I544" s="29">
        <v>3716.3</v>
      </c>
      <c r="J544" s="29">
        <v>3305.9</v>
      </c>
      <c r="K544" s="29">
        <v>3219.8</v>
      </c>
      <c r="L544" s="30">
        <v>145</v>
      </c>
      <c r="M544" s="31">
        <f t="shared" si="117"/>
        <v>4802183.95</v>
      </c>
      <c r="N544" s="29">
        <v>0</v>
      </c>
      <c r="O544" s="29">
        <v>0</v>
      </c>
      <c r="P544" s="29">
        <v>0</v>
      </c>
      <c r="Q544" s="32">
        <f>'Таблица 3 '!C534</f>
        <v>4802183.95</v>
      </c>
      <c r="R544" s="29">
        <f t="shared" si="118"/>
        <v>4802183.95</v>
      </c>
      <c r="S544" s="29">
        <v>0</v>
      </c>
      <c r="T544" s="29">
        <f t="shared" si="119"/>
        <v>1452.6101666717082</v>
      </c>
      <c r="U544" s="29">
        <f t="shared" si="120"/>
        <v>1452.6101666717082</v>
      </c>
      <c r="V544" s="33" t="s">
        <v>569</v>
      </c>
      <c r="W544" s="23"/>
    </row>
    <row r="545" spans="1:22" s="23" customFormat="1" ht="42.75" customHeight="1" x14ac:dyDescent="0.25">
      <c r="A545" s="25">
        <v>80</v>
      </c>
      <c r="B545" s="26" t="s">
        <v>603</v>
      </c>
      <c r="C545" s="25" t="s">
        <v>43</v>
      </c>
      <c r="D545" s="27" t="s">
        <v>195</v>
      </c>
      <c r="E545" s="27" t="s">
        <v>39</v>
      </c>
      <c r="F545" s="25" t="s">
        <v>44</v>
      </c>
      <c r="G545" s="28">
        <v>4</v>
      </c>
      <c r="H545" s="28">
        <v>2</v>
      </c>
      <c r="I545" s="29">
        <v>1820.5</v>
      </c>
      <c r="J545" s="29">
        <v>1358</v>
      </c>
      <c r="K545" s="29">
        <v>1357.2</v>
      </c>
      <c r="L545" s="30">
        <v>43</v>
      </c>
      <c r="M545" s="31">
        <f t="shared" si="117"/>
        <v>8655050.9400000013</v>
      </c>
      <c r="N545" s="29">
        <v>0</v>
      </c>
      <c r="O545" s="29">
        <v>0</v>
      </c>
      <c r="P545" s="29">
        <v>0</v>
      </c>
      <c r="Q545" s="32">
        <f>'Таблица 3 '!C535</f>
        <v>8655050.9400000013</v>
      </c>
      <c r="R545" s="29">
        <f t="shared" si="118"/>
        <v>8655050.9400000013</v>
      </c>
      <c r="S545" s="29">
        <v>0</v>
      </c>
      <c r="T545" s="29">
        <f t="shared" si="119"/>
        <v>6373.3806627393233</v>
      </c>
      <c r="U545" s="29">
        <f t="shared" si="120"/>
        <v>6373.3806627393233</v>
      </c>
      <c r="V545" s="33" t="s">
        <v>569</v>
      </c>
    </row>
    <row r="546" spans="1:22" s="23" customFormat="1" ht="42.75" customHeight="1" x14ac:dyDescent="0.25">
      <c r="A546" s="25">
        <v>81</v>
      </c>
      <c r="B546" s="26" t="s">
        <v>604</v>
      </c>
      <c r="C546" s="25" t="s">
        <v>85</v>
      </c>
      <c r="D546" s="27" t="s">
        <v>605</v>
      </c>
      <c r="E546" s="27" t="s">
        <v>39</v>
      </c>
      <c r="F546" s="25" t="s">
        <v>44</v>
      </c>
      <c r="G546" s="28">
        <v>9</v>
      </c>
      <c r="H546" s="28">
        <v>5</v>
      </c>
      <c r="I546" s="29">
        <v>16738.75</v>
      </c>
      <c r="J546" s="29">
        <v>13391</v>
      </c>
      <c r="K546" s="29">
        <v>13391</v>
      </c>
      <c r="L546" s="30">
        <v>446</v>
      </c>
      <c r="M546" s="31">
        <f t="shared" si="117"/>
        <v>11340297.140000001</v>
      </c>
      <c r="N546" s="29">
        <v>0</v>
      </c>
      <c r="O546" s="29">
        <v>0</v>
      </c>
      <c r="P546" s="29">
        <v>0</v>
      </c>
      <c r="Q546" s="32">
        <f>'Таблица 3 '!C536</f>
        <v>11340297.140000001</v>
      </c>
      <c r="R546" s="29">
        <f t="shared" si="118"/>
        <v>11340297.140000001</v>
      </c>
      <c r="S546" s="29">
        <v>0</v>
      </c>
      <c r="T546" s="29">
        <f t="shared" si="119"/>
        <v>846.859617653648</v>
      </c>
      <c r="U546" s="29">
        <f t="shared" si="120"/>
        <v>846.859617653648</v>
      </c>
      <c r="V546" s="33" t="s">
        <v>569</v>
      </c>
    </row>
    <row r="547" spans="1:22" s="23" customFormat="1" ht="42.75" customHeight="1" x14ac:dyDescent="0.25">
      <c r="A547" s="25">
        <v>82</v>
      </c>
      <c r="B547" s="26" t="s">
        <v>184</v>
      </c>
      <c r="C547" s="25" t="s">
        <v>43</v>
      </c>
      <c r="D547" s="25">
        <v>1964</v>
      </c>
      <c r="E547" s="27" t="s">
        <v>39</v>
      </c>
      <c r="F547" s="25" t="s">
        <v>44</v>
      </c>
      <c r="G547" s="28">
        <v>2</v>
      </c>
      <c r="H547" s="28">
        <v>1</v>
      </c>
      <c r="I547" s="29">
        <v>297.5</v>
      </c>
      <c r="J547" s="29">
        <v>297.5</v>
      </c>
      <c r="K547" s="29">
        <v>221</v>
      </c>
      <c r="L547" s="30">
        <v>20</v>
      </c>
      <c r="M547" s="31">
        <f t="shared" si="117"/>
        <v>2738444.9</v>
      </c>
      <c r="N547" s="29">
        <v>0</v>
      </c>
      <c r="O547" s="29">
        <v>0</v>
      </c>
      <c r="P547" s="29">
        <v>0</v>
      </c>
      <c r="Q547" s="32">
        <f>'Таблица 3 '!C537</f>
        <v>2738444.9</v>
      </c>
      <c r="R547" s="29">
        <f t="shared" si="118"/>
        <v>2738444.9</v>
      </c>
      <c r="S547" s="29">
        <v>0</v>
      </c>
      <c r="T547" s="29">
        <f t="shared" si="119"/>
        <v>9204.8568067226879</v>
      </c>
      <c r="U547" s="29">
        <f t="shared" si="120"/>
        <v>9204.8568067226879</v>
      </c>
      <c r="V547" s="33" t="s">
        <v>569</v>
      </c>
    </row>
    <row r="548" spans="1:22" s="23" customFormat="1" ht="42.75" customHeight="1" x14ac:dyDescent="0.25">
      <c r="A548" s="25">
        <v>83</v>
      </c>
      <c r="B548" s="26" t="s">
        <v>185</v>
      </c>
      <c r="C548" s="25" t="s">
        <v>43</v>
      </c>
      <c r="D548" s="25">
        <v>1963</v>
      </c>
      <c r="E548" s="27" t="s">
        <v>39</v>
      </c>
      <c r="F548" s="25" t="s">
        <v>77</v>
      </c>
      <c r="G548" s="28">
        <v>2</v>
      </c>
      <c r="H548" s="28">
        <v>2</v>
      </c>
      <c r="I548" s="32">
        <v>632.29999999999995</v>
      </c>
      <c r="J548" s="32">
        <v>633</v>
      </c>
      <c r="K548" s="32">
        <v>630.79999999999995</v>
      </c>
      <c r="L548" s="35">
        <v>28</v>
      </c>
      <c r="M548" s="31">
        <f t="shared" si="117"/>
        <v>3532455.46</v>
      </c>
      <c r="N548" s="29">
        <v>0</v>
      </c>
      <c r="O548" s="29">
        <v>0</v>
      </c>
      <c r="P548" s="29">
        <v>0</v>
      </c>
      <c r="Q548" s="32">
        <f>'Таблица 3 '!C538</f>
        <v>3532455.46</v>
      </c>
      <c r="R548" s="29">
        <f t="shared" si="118"/>
        <v>3532455.46</v>
      </c>
      <c r="S548" s="32">
        <v>0</v>
      </c>
      <c r="T548" s="29">
        <f t="shared" si="119"/>
        <v>5580.4983570300155</v>
      </c>
      <c r="U548" s="29">
        <f t="shared" si="120"/>
        <v>5580.4983570300155</v>
      </c>
      <c r="V548" s="33" t="s">
        <v>569</v>
      </c>
    </row>
    <row r="549" spans="1:22" s="23" customFormat="1" ht="42.75" customHeight="1" x14ac:dyDescent="0.25">
      <c r="A549" s="25">
        <v>84</v>
      </c>
      <c r="B549" s="26" t="s">
        <v>188</v>
      </c>
      <c r="C549" s="25" t="s">
        <v>43</v>
      </c>
      <c r="D549" s="25">
        <v>1990</v>
      </c>
      <c r="E549" s="27" t="s">
        <v>47</v>
      </c>
      <c r="F549" s="25" t="s">
        <v>48</v>
      </c>
      <c r="G549" s="28">
        <v>9</v>
      </c>
      <c r="H549" s="28">
        <v>3</v>
      </c>
      <c r="I549" s="32">
        <v>7590.2</v>
      </c>
      <c r="J549" s="32">
        <v>7326.5</v>
      </c>
      <c r="K549" s="32">
        <v>7397.9</v>
      </c>
      <c r="L549" s="35">
        <v>298</v>
      </c>
      <c r="M549" s="31">
        <f t="shared" si="117"/>
        <v>21976669.539999999</v>
      </c>
      <c r="N549" s="29">
        <v>0</v>
      </c>
      <c r="O549" s="29">
        <v>0</v>
      </c>
      <c r="P549" s="29">
        <v>0</v>
      </c>
      <c r="Q549" s="32">
        <f>'Таблица 3 '!C539</f>
        <v>21976669.539999999</v>
      </c>
      <c r="R549" s="29">
        <f t="shared" si="118"/>
        <v>21976669.539999999</v>
      </c>
      <c r="S549" s="32">
        <v>0</v>
      </c>
      <c r="T549" s="29">
        <f t="shared" si="119"/>
        <v>2999.6136681908142</v>
      </c>
      <c r="U549" s="29">
        <f t="shared" si="120"/>
        <v>2999.6136681908142</v>
      </c>
      <c r="V549" s="33" t="s">
        <v>569</v>
      </c>
    </row>
    <row r="550" spans="1:22" s="23" customFormat="1" ht="42.75" customHeight="1" x14ac:dyDescent="0.25">
      <c r="A550" s="25">
        <v>85</v>
      </c>
      <c r="B550" s="26" t="s">
        <v>606</v>
      </c>
      <c r="C550" s="25" t="s">
        <v>43</v>
      </c>
      <c r="D550" s="25">
        <v>1970</v>
      </c>
      <c r="E550" s="27" t="s">
        <v>39</v>
      </c>
      <c r="F550" s="25" t="s">
        <v>77</v>
      </c>
      <c r="G550" s="28">
        <v>5</v>
      </c>
      <c r="H550" s="28">
        <v>6</v>
      </c>
      <c r="I550" s="32">
        <v>4865.3</v>
      </c>
      <c r="J550" s="32">
        <v>4865.3</v>
      </c>
      <c r="K550" s="32">
        <v>4804.7</v>
      </c>
      <c r="L550" s="35">
        <v>155</v>
      </c>
      <c r="M550" s="31">
        <f t="shared" si="117"/>
        <v>28333171.490000002</v>
      </c>
      <c r="N550" s="29">
        <v>0</v>
      </c>
      <c r="O550" s="29">
        <v>0</v>
      </c>
      <c r="P550" s="29">
        <v>0</v>
      </c>
      <c r="Q550" s="32">
        <f>'Таблица 3 '!C540</f>
        <v>28333171.490000002</v>
      </c>
      <c r="R550" s="29">
        <f t="shared" si="118"/>
        <v>28333171.490000002</v>
      </c>
      <c r="S550" s="32">
        <v>0</v>
      </c>
      <c r="T550" s="29">
        <f t="shared" si="119"/>
        <v>5823.5199247733954</v>
      </c>
      <c r="U550" s="29">
        <f t="shared" si="120"/>
        <v>5823.5199247733954</v>
      </c>
      <c r="V550" s="33" t="s">
        <v>569</v>
      </c>
    </row>
    <row r="551" spans="1:22" s="23" customFormat="1" ht="42.75" customHeight="1" x14ac:dyDescent="0.25">
      <c r="A551" s="25">
        <v>86</v>
      </c>
      <c r="B551" s="26" t="s">
        <v>607</v>
      </c>
      <c r="C551" s="25" t="s">
        <v>43</v>
      </c>
      <c r="D551" s="25">
        <v>2013</v>
      </c>
      <c r="E551" s="27" t="s">
        <v>39</v>
      </c>
      <c r="F551" s="25" t="s">
        <v>77</v>
      </c>
      <c r="G551" s="28">
        <v>4</v>
      </c>
      <c r="H551" s="28">
        <v>2</v>
      </c>
      <c r="I551" s="32">
        <v>2239.3000000000002</v>
      </c>
      <c r="J551" s="32">
        <v>1799.2</v>
      </c>
      <c r="K551" s="32">
        <v>936.2</v>
      </c>
      <c r="L551" s="35">
        <v>68</v>
      </c>
      <c r="M551" s="31">
        <f t="shared" si="117"/>
        <v>712409.47</v>
      </c>
      <c r="N551" s="29">
        <v>0</v>
      </c>
      <c r="O551" s="29">
        <v>0</v>
      </c>
      <c r="P551" s="29">
        <v>0</v>
      </c>
      <c r="Q551" s="32">
        <f>'Таблица 3 '!C541</f>
        <v>712409.47</v>
      </c>
      <c r="R551" s="29">
        <f t="shared" si="118"/>
        <v>712409.47</v>
      </c>
      <c r="S551" s="32">
        <v>0</v>
      </c>
      <c r="T551" s="29">
        <f t="shared" si="119"/>
        <v>395.95902067585592</v>
      </c>
      <c r="U551" s="29">
        <f t="shared" si="120"/>
        <v>395.95902067585592</v>
      </c>
      <c r="V551" s="33" t="s">
        <v>569</v>
      </c>
    </row>
    <row r="552" spans="1:22" s="23" customFormat="1" ht="42.75" customHeight="1" x14ac:dyDescent="0.25">
      <c r="A552" s="25">
        <v>87</v>
      </c>
      <c r="B552" s="26" t="s">
        <v>608</v>
      </c>
      <c r="C552" s="25" t="s">
        <v>43</v>
      </c>
      <c r="D552" s="25">
        <v>1988</v>
      </c>
      <c r="E552" s="27" t="s">
        <v>63</v>
      </c>
      <c r="F552" s="25" t="s">
        <v>77</v>
      </c>
      <c r="G552" s="28">
        <v>5</v>
      </c>
      <c r="H552" s="28">
        <v>6</v>
      </c>
      <c r="I552" s="32">
        <v>4511.8999999999996</v>
      </c>
      <c r="J552" s="32">
        <v>4512</v>
      </c>
      <c r="K552" s="32">
        <v>3942.5</v>
      </c>
      <c r="L552" s="35">
        <v>87</v>
      </c>
      <c r="M552" s="31">
        <f t="shared" si="117"/>
        <v>7028444.1699999999</v>
      </c>
      <c r="N552" s="29">
        <v>0</v>
      </c>
      <c r="O552" s="29">
        <v>0</v>
      </c>
      <c r="P552" s="29">
        <v>0</v>
      </c>
      <c r="Q552" s="32">
        <f>'Таблица 3 '!C542</f>
        <v>7028444.1699999999</v>
      </c>
      <c r="R552" s="29">
        <f t="shared" si="118"/>
        <v>7028444.1699999999</v>
      </c>
      <c r="S552" s="32">
        <v>0</v>
      </c>
      <c r="T552" s="29">
        <f t="shared" si="119"/>
        <v>1557.7225554078013</v>
      </c>
      <c r="U552" s="29">
        <f t="shared" si="120"/>
        <v>1557.7225554078013</v>
      </c>
      <c r="V552" s="33" t="s">
        <v>569</v>
      </c>
    </row>
    <row r="553" spans="1:22" s="23" customFormat="1" ht="42.75" customHeight="1" x14ac:dyDescent="0.25">
      <c r="A553" s="25">
        <v>88</v>
      </c>
      <c r="B553" s="26" t="s">
        <v>189</v>
      </c>
      <c r="C553" s="25" t="s">
        <v>43</v>
      </c>
      <c r="D553" s="27" t="s">
        <v>152</v>
      </c>
      <c r="E553" s="27" t="s">
        <v>50</v>
      </c>
      <c r="F553" s="25" t="s">
        <v>48</v>
      </c>
      <c r="G553" s="28">
        <v>5</v>
      </c>
      <c r="H553" s="28">
        <v>6</v>
      </c>
      <c r="I553" s="29">
        <v>6587.8</v>
      </c>
      <c r="J553" s="29">
        <v>4864.3</v>
      </c>
      <c r="K553" s="29">
        <v>4410.8999999999996</v>
      </c>
      <c r="L553" s="30">
        <v>208</v>
      </c>
      <c r="M553" s="31">
        <f t="shared" si="117"/>
        <v>11551520.75</v>
      </c>
      <c r="N553" s="29">
        <v>0</v>
      </c>
      <c r="O553" s="29">
        <v>0</v>
      </c>
      <c r="P553" s="29">
        <v>0</v>
      </c>
      <c r="Q553" s="32">
        <f>'Таблица 3 '!C543</f>
        <v>11551520.75</v>
      </c>
      <c r="R553" s="29">
        <f t="shared" si="118"/>
        <v>11551520.75</v>
      </c>
      <c r="S553" s="29">
        <v>0</v>
      </c>
      <c r="T553" s="29">
        <f t="shared" si="119"/>
        <v>2374.7550007195277</v>
      </c>
      <c r="U553" s="29">
        <f t="shared" si="120"/>
        <v>2374.7550007195277</v>
      </c>
      <c r="V553" s="33" t="s">
        <v>569</v>
      </c>
    </row>
    <row r="554" spans="1:22" s="23" customFormat="1" ht="42.75" customHeight="1" x14ac:dyDescent="0.25">
      <c r="A554" s="25">
        <v>89</v>
      </c>
      <c r="B554" s="26" t="s">
        <v>190</v>
      </c>
      <c r="C554" s="25" t="s">
        <v>43</v>
      </c>
      <c r="D554" s="25">
        <v>1980</v>
      </c>
      <c r="E554" s="27" t="s">
        <v>39</v>
      </c>
      <c r="F554" s="25" t="s">
        <v>48</v>
      </c>
      <c r="G554" s="28">
        <v>5</v>
      </c>
      <c r="H554" s="28">
        <v>6</v>
      </c>
      <c r="I554" s="29">
        <v>6577.9</v>
      </c>
      <c r="J554" s="29">
        <v>5706.9</v>
      </c>
      <c r="K554" s="29">
        <v>5085.5</v>
      </c>
      <c r="L554" s="30">
        <v>210</v>
      </c>
      <c r="M554" s="31">
        <f t="shared" si="117"/>
        <v>15511042.599999998</v>
      </c>
      <c r="N554" s="29">
        <v>0</v>
      </c>
      <c r="O554" s="29">
        <v>0</v>
      </c>
      <c r="P554" s="29">
        <v>0</v>
      </c>
      <c r="Q554" s="32">
        <f>'Таблица 3 '!C544</f>
        <v>15511042.599999998</v>
      </c>
      <c r="R554" s="29">
        <f t="shared" si="118"/>
        <v>15511042.599999998</v>
      </c>
      <c r="S554" s="29">
        <v>0</v>
      </c>
      <c r="T554" s="29">
        <f t="shared" si="119"/>
        <v>2717.9453994287614</v>
      </c>
      <c r="U554" s="29">
        <f t="shared" si="120"/>
        <v>2717.9453994287614</v>
      </c>
      <c r="V554" s="33" t="s">
        <v>569</v>
      </c>
    </row>
    <row r="555" spans="1:22" s="23" customFormat="1" ht="42.75" customHeight="1" x14ac:dyDescent="0.25">
      <c r="A555" s="25">
        <v>90</v>
      </c>
      <c r="B555" s="26" t="s">
        <v>191</v>
      </c>
      <c r="C555" s="25" t="s">
        <v>43</v>
      </c>
      <c r="D555" s="25">
        <v>1960</v>
      </c>
      <c r="E555" s="27" t="s">
        <v>39</v>
      </c>
      <c r="F555" s="25" t="s">
        <v>44</v>
      </c>
      <c r="G555" s="28">
        <v>2</v>
      </c>
      <c r="H555" s="28">
        <v>1</v>
      </c>
      <c r="I555" s="29">
        <v>288.8</v>
      </c>
      <c r="J555" s="29">
        <v>230</v>
      </c>
      <c r="K555" s="29">
        <v>263.10000000000002</v>
      </c>
      <c r="L555" s="30">
        <v>13</v>
      </c>
      <c r="M555" s="31">
        <f t="shared" si="117"/>
        <v>1840878.15</v>
      </c>
      <c r="N555" s="29">
        <v>0</v>
      </c>
      <c r="O555" s="29">
        <v>0</v>
      </c>
      <c r="P555" s="29">
        <v>0</v>
      </c>
      <c r="Q555" s="32">
        <f>'Таблица 3 '!C545</f>
        <v>1840878.15</v>
      </c>
      <c r="R555" s="29">
        <f t="shared" si="118"/>
        <v>1840878.15</v>
      </c>
      <c r="S555" s="29">
        <v>0</v>
      </c>
      <c r="T555" s="29">
        <f t="shared" si="119"/>
        <v>8003.8180434782607</v>
      </c>
      <c r="U555" s="29">
        <f t="shared" si="120"/>
        <v>8003.8180434782607</v>
      </c>
      <c r="V555" s="33" t="s">
        <v>569</v>
      </c>
    </row>
    <row r="556" spans="1:22" s="23" customFormat="1" ht="42.75" customHeight="1" x14ac:dyDescent="0.25">
      <c r="A556" s="25">
        <v>91</v>
      </c>
      <c r="B556" s="26" t="s">
        <v>609</v>
      </c>
      <c r="C556" s="25" t="s">
        <v>43</v>
      </c>
      <c r="D556" s="25">
        <v>1974</v>
      </c>
      <c r="E556" s="27" t="s">
        <v>39</v>
      </c>
      <c r="F556" s="25" t="s">
        <v>44</v>
      </c>
      <c r="G556" s="28">
        <v>2</v>
      </c>
      <c r="H556" s="28">
        <v>2</v>
      </c>
      <c r="I556" s="29">
        <v>773.5</v>
      </c>
      <c r="J556" s="29">
        <v>738.8</v>
      </c>
      <c r="K556" s="29">
        <v>681.2</v>
      </c>
      <c r="L556" s="30">
        <v>38</v>
      </c>
      <c r="M556" s="31">
        <f t="shared" si="117"/>
        <v>6938613.0599999996</v>
      </c>
      <c r="N556" s="29">
        <v>0</v>
      </c>
      <c r="O556" s="29">
        <v>0</v>
      </c>
      <c r="P556" s="29">
        <v>0</v>
      </c>
      <c r="Q556" s="32">
        <f>'Таблица 3 '!C546</f>
        <v>6938613.0599999996</v>
      </c>
      <c r="R556" s="29">
        <f t="shared" si="118"/>
        <v>6938613.0599999996</v>
      </c>
      <c r="S556" s="29">
        <v>0</v>
      </c>
      <c r="T556" s="29">
        <f t="shared" si="119"/>
        <v>9391.7339740119114</v>
      </c>
      <c r="U556" s="29">
        <f t="shared" si="120"/>
        <v>9391.7339740119114</v>
      </c>
      <c r="V556" s="33" t="s">
        <v>569</v>
      </c>
    </row>
    <row r="557" spans="1:22" s="23" customFormat="1" ht="42.75" customHeight="1" x14ac:dyDescent="0.25">
      <c r="A557" s="25">
        <v>92</v>
      </c>
      <c r="B557" s="26" t="s">
        <v>192</v>
      </c>
      <c r="C557" s="25" t="s">
        <v>43</v>
      </c>
      <c r="D557" s="25">
        <v>1975</v>
      </c>
      <c r="E557" s="27" t="s">
        <v>39</v>
      </c>
      <c r="F557" s="25" t="s">
        <v>77</v>
      </c>
      <c r="G557" s="28">
        <v>2</v>
      </c>
      <c r="H557" s="28">
        <v>2</v>
      </c>
      <c r="I557" s="32">
        <v>1005.1</v>
      </c>
      <c r="J557" s="32">
        <v>917.4</v>
      </c>
      <c r="K557" s="32">
        <v>640</v>
      </c>
      <c r="L557" s="35">
        <v>41</v>
      </c>
      <c r="M557" s="31">
        <f t="shared" si="117"/>
        <v>2158813.21</v>
      </c>
      <c r="N557" s="29">
        <v>0</v>
      </c>
      <c r="O557" s="29">
        <v>0</v>
      </c>
      <c r="P557" s="29">
        <v>0</v>
      </c>
      <c r="Q557" s="32">
        <f>'Таблица 3 '!C547</f>
        <v>2158813.21</v>
      </c>
      <c r="R557" s="29">
        <f t="shared" si="118"/>
        <v>2158813.21</v>
      </c>
      <c r="S557" s="32">
        <v>0</v>
      </c>
      <c r="T557" s="29">
        <f t="shared" si="119"/>
        <v>2353.1864072378462</v>
      </c>
      <c r="U557" s="29">
        <f t="shared" si="120"/>
        <v>2353.1864072378462</v>
      </c>
      <c r="V557" s="33" t="s">
        <v>569</v>
      </c>
    </row>
    <row r="558" spans="1:22" s="23" customFormat="1" ht="42.75" customHeight="1" x14ac:dyDescent="0.25">
      <c r="A558" s="25">
        <v>93</v>
      </c>
      <c r="B558" s="36" t="s">
        <v>194</v>
      </c>
      <c r="C558" s="25" t="s">
        <v>43</v>
      </c>
      <c r="D558" s="25">
        <v>1960</v>
      </c>
      <c r="E558" s="27" t="s">
        <v>39</v>
      </c>
      <c r="F558" s="25" t="s">
        <v>44</v>
      </c>
      <c r="G558" s="28">
        <v>2</v>
      </c>
      <c r="H558" s="28">
        <v>2</v>
      </c>
      <c r="I558" s="29">
        <v>633</v>
      </c>
      <c r="J558" s="29">
        <v>540.70000000000005</v>
      </c>
      <c r="K558" s="29">
        <v>432.68</v>
      </c>
      <c r="L558" s="30">
        <v>28</v>
      </c>
      <c r="M558" s="31">
        <f t="shared" si="117"/>
        <v>5241787.7300000004</v>
      </c>
      <c r="N558" s="29">
        <v>0</v>
      </c>
      <c r="O558" s="29">
        <v>0</v>
      </c>
      <c r="P558" s="29">
        <v>0</v>
      </c>
      <c r="Q558" s="32">
        <f>'Таблица 3 '!C548</f>
        <v>5241787.7300000004</v>
      </c>
      <c r="R558" s="29">
        <f t="shared" si="118"/>
        <v>5241787.7300000004</v>
      </c>
      <c r="S558" s="29">
        <v>0</v>
      </c>
      <c r="T558" s="29">
        <f t="shared" si="119"/>
        <v>9694.4474385056401</v>
      </c>
      <c r="U558" s="29">
        <f t="shared" si="120"/>
        <v>9694.4474385056401</v>
      </c>
      <c r="V558" s="33" t="s">
        <v>569</v>
      </c>
    </row>
    <row r="559" spans="1:22" s="23" customFormat="1" ht="42.75" customHeight="1" x14ac:dyDescent="0.25">
      <c r="A559" s="25">
        <v>94</v>
      </c>
      <c r="B559" s="36" t="s">
        <v>197</v>
      </c>
      <c r="C559" s="25" t="s">
        <v>43</v>
      </c>
      <c r="D559" s="27">
        <v>1984</v>
      </c>
      <c r="E559" s="27" t="s">
        <v>39</v>
      </c>
      <c r="F559" s="25" t="s">
        <v>48</v>
      </c>
      <c r="G559" s="28">
        <v>5</v>
      </c>
      <c r="H559" s="28">
        <v>6</v>
      </c>
      <c r="I559" s="29">
        <v>4230.8</v>
      </c>
      <c r="J559" s="29">
        <v>4685.3999999999996</v>
      </c>
      <c r="K559" s="29">
        <v>4223</v>
      </c>
      <c r="L559" s="30">
        <v>90</v>
      </c>
      <c r="M559" s="31">
        <f t="shared" si="117"/>
        <v>27866501.380000003</v>
      </c>
      <c r="N559" s="29">
        <v>0</v>
      </c>
      <c r="O559" s="29">
        <v>0</v>
      </c>
      <c r="P559" s="29">
        <v>0</v>
      </c>
      <c r="Q559" s="32">
        <f>'Таблица 3 '!C549</f>
        <v>27866501.380000003</v>
      </c>
      <c r="R559" s="29">
        <f t="shared" si="118"/>
        <v>27866501.380000003</v>
      </c>
      <c r="S559" s="29">
        <v>0</v>
      </c>
      <c r="T559" s="29">
        <f t="shared" si="119"/>
        <v>5947.5181158492351</v>
      </c>
      <c r="U559" s="29">
        <f t="shared" si="120"/>
        <v>5947.5181158492351</v>
      </c>
      <c r="V559" s="33" t="s">
        <v>569</v>
      </c>
    </row>
    <row r="560" spans="1:22" s="23" customFormat="1" ht="42.75" customHeight="1" x14ac:dyDescent="0.25">
      <c r="A560" s="25">
        <v>95</v>
      </c>
      <c r="B560" s="36" t="s">
        <v>610</v>
      </c>
      <c r="C560" s="25" t="s">
        <v>43</v>
      </c>
      <c r="D560" s="27" t="s">
        <v>173</v>
      </c>
      <c r="E560" s="27" t="s">
        <v>39</v>
      </c>
      <c r="F560" s="25" t="s">
        <v>44</v>
      </c>
      <c r="G560" s="28">
        <v>5</v>
      </c>
      <c r="H560" s="28">
        <v>4</v>
      </c>
      <c r="I560" s="29">
        <v>3432.4</v>
      </c>
      <c r="J560" s="29">
        <v>3160.1</v>
      </c>
      <c r="K560" s="29">
        <v>2346.9</v>
      </c>
      <c r="L560" s="30">
        <v>115</v>
      </c>
      <c r="M560" s="31">
        <f t="shared" si="117"/>
        <v>4844433</v>
      </c>
      <c r="N560" s="29">
        <v>0</v>
      </c>
      <c r="O560" s="29">
        <v>0</v>
      </c>
      <c r="P560" s="29">
        <v>0</v>
      </c>
      <c r="Q560" s="32">
        <f>'Таблица 3 '!C550</f>
        <v>4844433</v>
      </c>
      <c r="R560" s="29">
        <f t="shared" si="118"/>
        <v>4844433</v>
      </c>
      <c r="S560" s="29">
        <v>0</v>
      </c>
      <c r="T560" s="29">
        <f t="shared" si="119"/>
        <v>1532.9999050662955</v>
      </c>
      <c r="U560" s="29">
        <f t="shared" si="120"/>
        <v>1532.9999050662955</v>
      </c>
      <c r="V560" s="33" t="s">
        <v>569</v>
      </c>
    </row>
    <row r="561" spans="1:22" s="23" customFormat="1" ht="42.75" customHeight="1" x14ac:dyDescent="0.25">
      <c r="A561" s="25">
        <v>96</v>
      </c>
      <c r="B561" s="36" t="s">
        <v>198</v>
      </c>
      <c r="C561" s="25" t="s">
        <v>43</v>
      </c>
      <c r="D561" s="27">
        <v>1984</v>
      </c>
      <c r="E561" s="27" t="s">
        <v>39</v>
      </c>
      <c r="F561" s="25" t="s">
        <v>48</v>
      </c>
      <c r="G561" s="28">
        <v>10</v>
      </c>
      <c r="H561" s="28">
        <v>2</v>
      </c>
      <c r="I561" s="29">
        <v>3764</v>
      </c>
      <c r="J561" s="29">
        <v>3764</v>
      </c>
      <c r="K561" s="29">
        <v>3620.1</v>
      </c>
      <c r="L561" s="30">
        <v>137</v>
      </c>
      <c r="M561" s="31">
        <f t="shared" si="117"/>
        <v>10750862.140000001</v>
      </c>
      <c r="N561" s="29">
        <v>0</v>
      </c>
      <c r="O561" s="29">
        <v>0</v>
      </c>
      <c r="P561" s="29">
        <v>0</v>
      </c>
      <c r="Q561" s="32">
        <f>'Таблица 3 '!C551</f>
        <v>10750862.140000001</v>
      </c>
      <c r="R561" s="29">
        <f t="shared" si="118"/>
        <v>10750862.140000001</v>
      </c>
      <c r="S561" s="29">
        <v>0</v>
      </c>
      <c r="T561" s="29">
        <f t="shared" si="119"/>
        <v>2856.2332996811906</v>
      </c>
      <c r="U561" s="29">
        <f t="shared" si="120"/>
        <v>2856.2332996811906</v>
      </c>
      <c r="V561" s="33" t="s">
        <v>569</v>
      </c>
    </row>
    <row r="562" spans="1:22" s="23" customFormat="1" ht="42.75" customHeight="1" x14ac:dyDescent="0.25">
      <c r="A562" s="25">
        <v>97</v>
      </c>
      <c r="B562" s="36" t="s">
        <v>611</v>
      </c>
      <c r="C562" s="25" t="s">
        <v>43</v>
      </c>
      <c r="D562" s="27" t="s">
        <v>287</v>
      </c>
      <c r="E562" s="27" t="s">
        <v>39</v>
      </c>
      <c r="F562" s="25" t="s">
        <v>77</v>
      </c>
      <c r="G562" s="28">
        <v>2</v>
      </c>
      <c r="H562" s="28">
        <v>2</v>
      </c>
      <c r="I562" s="29">
        <v>825</v>
      </c>
      <c r="J562" s="29">
        <v>626.6</v>
      </c>
      <c r="K562" s="29">
        <v>0</v>
      </c>
      <c r="L562" s="30">
        <v>14</v>
      </c>
      <c r="M562" s="31">
        <f t="shared" si="117"/>
        <v>6830139.2700000005</v>
      </c>
      <c r="N562" s="29">
        <v>0</v>
      </c>
      <c r="O562" s="29">
        <v>0</v>
      </c>
      <c r="P562" s="29">
        <v>0</v>
      </c>
      <c r="Q562" s="32">
        <f>'Таблица 3 '!C552</f>
        <v>6830139.2700000005</v>
      </c>
      <c r="R562" s="29">
        <f t="shared" si="118"/>
        <v>6830139.2700000005</v>
      </c>
      <c r="S562" s="29">
        <v>0</v>
      </c>
      <c r="T562" s="29">
        <f t="shared" si="119"/>
        <v>10900.318017874242</v>
      </c>
      <c r="U562" s="29">
        <f t="shared" si="120"/>
        <v>10900.318017874242</v>
      </c>
      <c r="V562" s="33" t="s">
        <v>569</v>
      </c>
    </row>
    <row r="563" spans="1:22" s="23" customFormat="1" ht="42.75" customHeight="1" x14ac:dyDescent="0.25">
      <c r="A563" s="25">
        <v>98</v>
      </c>
      <c r="B563" s="26" t="s">
        <v>206</v>
      </c>
      <c r="C563" s="25" t="s">
        <v>43</v>
      </c>
      <c r="D563" s="25">
        <v>1970</v>
      </c>
      <c r="E563" s="27" t="s">
        <v>57</v>
      </c>
      <c r="F563" s="25" t="s">
        <v>48</v>
      </c>
      <c r="G563" s="28">
        <v>5</v>
      </c>
      <c r="H563" s="28">
        <v>6</v>
      </c>
      <c r="I563" s="32">
        <v>4715.2</v>
      </c>
      <c r="J563" s="32">
        <v>4702.1000000000004</v>
      </c>
      <c r="K563" s="32">
        <v>4487.5</v>
      </c>
      <c r="L563" s="35">
        <v>230</v>
      </c>
      <c r="M563" s="31">
        <f t="shared" si="117"/>
        <v>3779744.5300000003</v>
      </c>
      <c r="N563" s="29">
        <v>0</v>
      </c>
      <c r="O563" s="29">
        <v>0</v>
      </c>
      <c r="P563" s="29">
        <v>0</v>
      </c>
      <c r="Q563" s="32">
        <f>'Таблица 3 '!C553</f>
        <v>3779744.5300000003</v>
      </c>
      <c r="R563" s="29">
        <f t="shared" si="118"/>
        <v>3779744.5300000003</v>
      </c>
      <c r="S563" s="32">
        <v>0</v>
      </c>
      <c r="T563" s="29">
        <f t="shared" si="119"/>
        <v>803.84180047212942</v>
      </c>
      <c r="U563" s="29">
        <f t="shared" si="120"/>
        <v>803.84180047212942</v>
      </c>
      <c r="V563" s="33" t="s">
        <v>569</v>
      </c>
    </row>
    <row r="564" spans="1:22" s="23" customFormat="1" ht="42.75" customHeight="1" x14ac:dyDescent="0.25">
      <c r="A564" s="25">
        <v>99</v>
      </c>
      <c r="B564" s="26" t="s">
        <v>612</v>
      </c>
      <c r="C564" s="25" t="s">
        <v>43</v>
      </c>
      <c r="D564" s="25">
        <v>1974</v>
      </c>
      <c r="E564" s="27" t="s">
        <v>39</v>
      </c>
      <c r="F564" s="25" t="s">
        <v>77</v>
      </c>
      <c r="G564" s="28">
        <v>9</v>
      </c>
      <c r="H564" s="28">
        <v>1</v>
      </c>
      <c r="I564" s="32">
        <v>3122.1</v>
      </c>
      <c r="J564" s="32">
        <v>3119.8</v>
      </c>
      <c r="K564" s="32">
        <v>2064.4</v>
      </c>
      <c r="L564" s="35">
        <v>74</v>
      </c>
      <c r="M564" s="31">
        <f t="shared" si="117"/>
        <v>589435</v>
      </c>
      <c r="N564" s="29">
        <v>0</v>
      </c>
      <c r="O564" s="29">
        <v>0</v>
      </c>
      <c r="P564" s="29">
        <v>0</v>
      </c>
      <c r="Q564" s="32">
        <f>'Таблица 3 '!C554</f>
        <v>589435</v>
      </c>
      <c r="R564" s="29">
        <f t="shared" si="118"/>
        <v>589435</v>
      </c>
      <c r="S564" s="32">
        <v>0</v>
      </c>
      <c r="T564" s="29">
        <f t="shared" si="119"/>
        <v>188.93358548624911</v>
      </c>
      <c r="U564" s="29">
        <f t="shared" si="120"/>
        <v>188.93358548624911</v>
      </c>
      <c r="V564" s="33" t="s">
        <v>569</v>
      </c>
    </row>
    <row r="565" spans="1:22" s="23" customFormat="1" ht="42.75" customHeight="1" x14ac:dyDescent="0.25">
      <c r="A565" s="25">
        <v>100</v>
      </c>
      <c r="B565" s="26" t="s">
        <v>207</v>
      </c>
      <c r="C565" s="25" t="s">
        <v>43</v>
      </c>
      <c r="D565" s="25">
        <v>1978</v>
      </c>
      <c r="E565" s="27">
        <v>2024</v>
      </c>
      <c r="F565" s="25" t="s">
        <v>77</v>
      </c>
      <c r="G565" s="28">
        <v>5</v>
      </c>
      <c r="H565" s="28">
        <v>6</v>
      </c>
      <c r="I565" s="32">
        <v>5770.5</v>
      </c>
      <c r="J565" s="32">
        <v>4274.7</v>
      </c>
      <c r="K565" s="32">
        <v>4229</v>
      </c>
      <c r="L565" s="35">
        <v>238</v>
      </c>
      <c r="M565" s="31">
        <f t="shared" si="117"/>
        <v>22717227.149999999</v>
      </c>
      <c r="N565" s="29">
        <v>0</v>
      </c>
      <c r="O565" s="29">
        <v>0</v>
      </c>
      <c r="P565" s="29">
        <v>0</v>
      </c>
      <c r="Q565" s="32">
        <f>'Таблица 3 '!C555</f>
        <v>22717227.149999999</v>
      </c>
      <c r="R565" s="29">
        <f t="shared" si="118"/>
        <v>22717227.149999999</v>
      </c>
      <c r="S565" s="32">
        <v>0</v>
      </c>
      <c r="T565" s="29">
        <f t="shared" si="119"/>
        <v>5314.3441995929534</v>
      </c>
      <c r="U565" s="29">
        <f t="shared" si="120"/>
        <v>5314.3441995929534</v>
      </c>
      <c r="V565" s="33" t="s">
        <v>569</v>
      </c>
    </row>
    <row r="566" spans="1:22" s="23" customFormat="1" ht="42.75" customHeight="1" x14ac:dyDescent="0.25">
      <c r="A566" s="25">
        <v>101</v>
      </c>
      <c r="B566" s="26" t="s">
        <v>209</v>
      </c>
      <c r="C566" s="25" t="s">
        <v>43</v>
      </c>
      <c r="D566" s="25">
        <v>1983</v>
      </c>
      <c r="E566" s="27" t="s">
        <v>39</v>
      </c>
      <c r="F566" s="25" t="s">
        <v>48</v>
      </c>
      <c r="G566" s="28">
        <v>5</v>
      </c>
      <c r="H566" s="28">
        <v>5</v>
      </c>
      <c r="I566" s="29">
        <v>5025.3</v>
      </c>
      <c r="J566" s="29">
        <v>3690.4</v>
      </c>
      <c r="K566" s="29">
        <v>3690.4</v>
      </c>
      <c r="L566" s="30">
        <v>75</v>
      </c>
      <c r="M566" s="31">
        <f t="shared" si="117"/>
        <v>12328646.449999999</v>
      </c>
      <c r="N566" s="29">
        <v>0</v>
      </c>
      <c r="O566" s="29">
        <v>0</v>
      </c>
      <c r="P566" s="29">
        <v>0</v>
      </c>
      <c r="Q566" s="32">
        <f>'Таблица 3 '!C556</f>
        <v>12328646.449999999</v>
      </c>
      <c r="R566" s="29">
        <f t="shared" si="118"/>
        <v>12328646.449999999</v>
      </c>
      <c r="S566" s="29">
        <v>0</v>
      </c>
      <c r="T566" s="29">
        <f t="shared" si="119"/>
        <v>3340.7344596791672</v>
      </c>
      <c r="U566" s="29">
        <f t="shared" si="120"/>
        <v>3340.7344596791672</v>
      </c>
      <c r="V566" s="33" t="s">
        <v>569</v>
      </c>
    </row>
    <row r="567" spans="1:22" s="23" customFormat="1" ht="42.75" customHeight="1" x14ac:dyDescent="0.25">
      <c r="A567" s="25">
        <v>102</v>
      </c>
      <c r="B567" s="26" t="s">
        <v>613</v>
      </c>
      <c r="C567" s="25" t="s">
        <v>43</v>
      </c>
      <c r="D567" s="25">
        <v>2003</v>
      </c>
      <c r="E567" s="27" t="s">
        <v>39</v>
      </c>
      <c r="F567" s="25" t="s">
        <v>77</v>
      </c>
      <c r="G567" s="28">
        <v>9</v>
      </c>
      <c r="H567" s="28">
        <v>4</v>
      </c>
      <c r="I567" s="32">
        <v>5798.6</v>
      </c>
      <c r="J567" s="32">
        <v>5795.5</v>
      </c>
      <c r="K567" s="32">
        <v>4014.6</v>
      </c>
      <c r="L567" s="35">
        <v>185</v>
      </c>
      <c r="M567" s="31">
        <f t="shared" si="117"/>
        <v>589435</v>
      </c>
      <c r="N567" s="29">
        <v>0</v>
      </c>
      <c r="O567" s="29">
        <v>0</v>
      </c>
      <c r="P567" s="29">
        <v>0</v>
      </c>
      <c r="Q567" s="32">
        <f>'Таблица 3 '!C557</f>
        <v>589435</v>
      </c>
      <c r="R567" s="29">
        <f t="shared" si="118"/>
        <v>589435</v>
      </c>
      <c r="S567" s="32">
        <v>0</v>
      </c>
      <c r="T567" s="29">
        <f t="shared" si="119"/>
        <v>101.70563368130446</v>
      </c>
      <c r="U567" s="29">
        <f t="shared" si="120"/>
        <v>101.70563368130446</v>
      </c>
      <c r="V567" s="33" t="s">
        <v>569</v>
      </c>
    </row>
    <row r="568" spans="1:22" s="23" customFormat="1" ht="42.75" customHeight="1" x14ac:dyDescent="0.25">
      <c r="A568" s="25">
        <v>103</v>
      </c>
      <c r="B568" s="26" t="s">
        <v>210</v>
      </c>
      <c r="C568" s="25" t="s">
        <v>43</v>
      </c>
      <c r="D568" s="25">
        <v>1961</v>
      </c>
      <c r="E568" s="27" t="s">
        <v>39</v>
      </c>
      <c r="F568" s="25" t="s">
        <v>44</v>
      </c>
      <c r="G568" s="28">
        <v>2</v>
      </c>
      <c r="H568" s="28">
        <v>1</v>
      </c>
      <c r="I568" s="29">
        <v>311.60000000000002</v>
      </c>
      <c r="J568" s="29">
        <v>286.3</v>
      </c>
      <c r="K568" s="29">
        <v>187.2</v>
      </c>
      <c r="L568" s="30">
        <v>11</v>
      </c>
      <c r="M568" s="31">
        <f t="shared" si="117"/>
        <v>1311967.6100000001</v>
      </c>
      <c r="N568" s="29">
        <v>0</v>
      </c>
      <c r="O568" s="29">
        <v>0</v>
      </c>
      <c r="P568" s="29">
        <v>0</v>
      </c>
      <c r="Q568" s="32">
        <f>'Таблица 3 '!C558</f>
        <v>1311967.6100000001</v>
      </c>
      <c r="R568" s="29">
        <f t="shared" si="118"/>
        <v>1311967.6100000001</v>
      </c>
      <c r="S568" s="29">
        <v>0</v>
      </c>
      <c r="T568" s="29">
        <f t="shared" si="119"/>
        <v>4582.4925253230876</v>
      </c>
      <c r="U568" s="29">
        <f t="shared" si="120"/>
        <v>4582.4925253230876</v>
      </c>
      <c r="V568" s="33" t="s">
        <v>569</v>
      </c>
    </row>
    <row r="569" spans="1:22" s="23" customFormat="1" ht="42.75" customHeight="1" x14ac:dyDescent="0.25">
      <c r="A569" s="25">
        <v>104</v>
      </c>
      <c r="B569" s="26" t="s">
        <v>614</v>
      </c>
      <c r="C569" s="25" t="s">
        <v>43</v>
      </c>
      <c r="D569" s="25">
        <v>2004</v>
      </c>
      <c r="E569" s="27" t="s">
        <v>39</v>
      </c>
      <c r="F569" s="25" t="s">
        <v>77</v>
      </c>
      <c r="G569" s="28">
        <v>9</v>
      </c>
      <c r="H569" s="28">
        <v>4</v>
      </c>
      <c r="I569" s="32">
        <v>5912.7</v>
      </c>
      <c r="J569" s="32">
        <v>5912.3</v>
      </c>
      <c r="K569" s="32">
        <v>4519.3999999999996</v>
      </c>
      <c r="L569" s="35">
        <v>182</v>
      </c>
      <c r="M569" s="31">
        <f t="shared" si="117"/>
        <v>589435</v>
      </c>
      <c r="N569" s="29">
        <v>0</v>
      </c>
      <c r="O569" s="29">
        <v>0</v>
      </c>
      <c r="P569" s="29">
        <v>0</v>
      </c>
      <c r="Q569" s="32">
        <f>'Таблица 3 '!C559</f>
        <v>589435</v>
      </c>
      <c r="R569" s="29">
        <f t="shared" si="118"/>
        <v>589435</v>
      </c>
      <c r="S569" s="32">
        <v>0</v>
      </c>
      <c r="T569" s="29">
        <f t="shared" si="119"/>
        <v>99.696395649747132</v>
      </c>
      <c r="U569" s="29">
        <f t="shared" si="120"/>
        <v>99.696395649747132</v>
      </c>
      <c r="V569" s="33" t="s">
        <v>569</v>
      </c>
    </row>
    <row r="570" spans="1:22" s="23" customFormat="1" ht="42.75" customHeight="1" x14ac:dyDescent="0.25">
      <c r="A570" s="25">
        <v>105</v>
      </c>
      <c r="B570" s="26" t="s">
        <v>615</v>
      </c>
      <c r="C570" s="25" t="s">
        <v>43</v>
      </c>
      <c r="D570" s="27" t="s">
        <v>522</v>
      </c>
      <c r="E570" s="27" t="s">
        <v>39</v>
      </c>
      <c r="F570" s="25" t="s">
        <v>44</v>
      </c>
      <c r="G570" s="28">
        <v>5</v>
      </c>
      <c r="H570" s="28">
        <v>6</v>
      </c>
      <c r="I570" s="29">
        <v>4542.5</v>
      </c>
      <c r="J570" s="29">
        <v>4525.7</v>
      </c>
      <c r="K570" s="29">
        <v>4256</v>
      </c>
      <c r="L570" s="30">
        <v>212</v>
      </c>
      <c r="M570" s="31">
        <f t="shared" si="117"/>
        <v>26379960.939999998</v>
      </c>
      <c r="N570" s="29">
        <v>0</v>
      </c>
      <c r="O570" s="29">
        <v>0</v>
      </c>
      <c r="P570" s="29">
        <v>0</v>
      </c>
      <c r="Q570" s="32">
        <f>'Таблица 3 '!C560</f>
        <v>26379960.939999998</v>
      </c>
      <c r="R570" s="29">
        <f t="shared" si="118"/>
        <v>26379960.939999998</v>
      </c>
      <c r="S570" s="29">
        <v>0</v>
      </c>
      <c r="T570" s="29">
        <f t="shared" si="119"/>
        <v>5828.9239101133526</v>
      </c>
      <c r="U570" s="29">
        <f t="shared" si="120"/>
        <v>5828.9239101133526</v>
      </c>
      <c r="V570" s="33" t="s">
        <v>569</v>
      </c>
    </row>
    <row r="571" spans="1:22" s="23" customFormat="1" ht="42.75" customHeight="1" x14ac:dyDescent="0.25">
      <c r="A571" s="25">
        <v>106</v>
      </c>
      <c r="B571" s="26" t="s">
        <v>616</v>
      </c>
      <c r="C571" s="25" t="s">
        <v>43</v>
      </c>
      <c r="D571" s="27" t="s">
        <v>132</v>
      </c>
      <c r="E571" s="27" t="s">
        <v>39</v>
      </c>
      <c r="F571" s="25" t="s">
        <v>44</v>
      </c>
      <c r="G571" s="28">
        <v>5</v>
      </c>
      <c r="H571" s="28">
        <v>6</v>
      </c>
      <c r="I571" s="29">
        <v>4579.2</v>
      </c>
      <c r="J571" s="29">
        <v>4571</v>
      </c>
      <c r="K571" s="29">
        <v>4410.3999999999996</v>
      </c>
      <c r="L571" s="30">
        <v>150</v>
      </c>
      <c r="M571" s="31">
        <f t="shared" si="117"/>
        <v>7505333.4299999997</v>
      </c>
      <c r="N571" s="29">
        <v>0</v>
      </c>
      <c r="O571" s="29">
        <v>0</v>
      </c>
      <c r="P571" s="29">
        <v>0</v>
      </c>
      <c r="Q571" s="32">
        <f>'Таблица 3 '!C561</f>
        <v>7505333.4299999997</v>
      </c>
      <c r="R571" s="29">
        <f t="shared" si="118"/>
        <v>7505333.4299999997</v>
      </c>
      <c r="S571" s="32">
        <v>0</v>
      </c>
      <c r="T571" s="29">
        <f t="shared" si="119"/>
        <v>1641.9456202143949</v>
      </c>
      <c r="U571" s="29">
        <f t="shared" si="120"/>
        <v>1641.9456202143949</v>
      </c>
      <c r="V571" s="33" t="s">
        <v>569</v>
      </c>
    </row>
    <row r="572" spans="1:22" s="23" customFormat="1" ht="42.75" customHeight="1" x14ac:dyDescent="0.25">
      <c r="A572" s="25">
        <v>107</v>
      </c>
      <c r="B572" s="26" t="s">
        <v>617</v>
      </c>
      <c r="C572" s="25" t="s">
        <v>43</v>
      </c>
      <c r="D572" s="27" t="s">
        <v>132</v>
      </c>
      <c r="E572" s="27" t="s">
        <v>39</v>
      </c>
      <c r="F572" s="25" t="s">
        <v>44</v>
      </c>
      <c r="G572" s="28">
        <v>4</v>
      </c>
      <c r="H572" s="28">
        <v>4</v>
      </c>
      <c r="I572" s="29">
        <v>2860.4</v>
      </c>
      <c r="J572" s="29">
        <v>2568.4</v>
      </c>
      <c r="K572" s="29">
        <v>2279.6999999999998</v>
      </c>
      <c r="L572" s="30">
        <v>76</v>
      </c>
      <c r="M572" s="31">
        <f t="shared" si="117"/>
        <v>4372155.22</v>
      </c>
      <c r="N572" s="29">
        <v>0</v>
      </c>
      <c r="O572" s="29">
        <v>0</v>
      </c>
      <c r="P572" s="29">
        <v>0</v>
      </c>
      <c r="Q572" s="32">
        <f>'Таблица 3 '!C562</f>
        <v>4372155.22</v>
      </c>
      <c r="R572" s="29">
        <f t="shared" si="118"/>
        <v>4372155.22</v>
      </c>
      <c r="S572" s="32">
        <v>0</v>
      </c>
      <c r="T572" s="29">
        <f t="shared" si="119"/>
        <v>1702.2875019467372</v>
      </c>
      <c r="U572" s="29">
        <f t="shared" si="120"/>
        <v>1702.2875019467372</v>
      </c>
      <c r="V572" s="33" t="s">
        <v>569</v>
      </c>
    </row>
    <row r="573" spans="1:22" s="23" customFormat="1" ht="42.75" customHeight="1" x14ac:dyDescent="0.25">
      <c r="A573" s="25">
        <v>108</v>
      </c>
      <c r="B573" s="26" t="s">
        <v>618</v>
      </c>
      <c r="C573" s="25" t="s">
        <v>43</v>
      </c>
      <c r="D573" s="27" t="s">
        <v>215</v>
      </c>
      <c r="E573" s="27" t="s">
        <v>39</v>
      </c>
      <c r="F573" s="25" t="s">
        <v>44</v>
      </c>
      <c r="G573" s="28">
        <v>4</v>
      </c>
      <c r="H573" s="28">
        <v>8</v>
      </c>
      <c r="I573" s="29">
        <v>7542.8</v>
      </c>
      <c r="J573" s="29">
        <v>6061</v>
      </c>
      <c r="K573" s="29">
        <v>5446.1</v>
      </c>
      <c r="L573" s="30">
        <v>112</v>
      </c>
      <c r="M573" s="31">
        <f t="shared" si="117"/>
        <v>1028886</v>
      </c>
      <c r="N573" s="29">
        <v>0</v>
      </c>
      <c r="O573" s="29">
        <v>0</v>
      </c>
      <c r="P573" s="29">
        <v>0</v>
      </c>
      <c r="Q573" s="32">
        <f>'Таблица 3 '!C563</f>
        <v>1028886</v>
      </c>
      <c r="R573" s="29">
        <f t="shared" si="118"/>
        <v>1028886</v>
      </c>
      <c r="S573" s="29">
        <v>0</v>
      </c>
      <c r="T573" s="29">
        <f t="shared" si="119"/>
        <v>169.75515591486553</v>
      </c>
      <c r="U573" s="29">
        <f t="shared" si="120"/>
        <v>169.75515591486553</v>
      </c>
      <c r="V573" s="33" t="s">
        <v>569</v>
      </c>
    </row>
    <row r="574" spans="1:22" s="23" customFormat="1" ht="42.75" customHeight="1" x14ac:dyDescent="0.25">
      <c r="A574" s="25">
        <v>109</v>
      </c>
      <c r="B574" s="26" t="s">
        <v>214</v>
      </c>
      <c r="C574" s="25" t="s">
        <v>43</v>
      </c>
      <c r="D574" s="27" t="s">
        <v>215</v>
      </c>
      <c r="E574" s="27" t="s">
        <v>50</v>
      </c>
      <c r="F574" s="25" t="s">
        <v>44</v>
      </c>
      <c r="G574" s="28">
        <v>4</v>
      </c>
      <c r="H574" s="28">
        <v>9</v>
      </c>
      <c r="I574" s="29">
        <v>7379.8</v>
      </c>
      <c r="J574" s="29">
        <v>7379.3</v>
      </c>
      <c r="K574" s="29">
        <v>4342.3999999999996</v>
      </c>
      <c r="L574" s="30">
        <v>124</v>
      </c>
      <c r="M574" s="31">
        <f t="shared" si="117"/>
        <v>53551480.270000003</v>
      </c>
      <c r="N574" s="29">
        <v>0</v>
      </c>
      <c r="O574" s="29">
        <v>0</v>
      </c>
      <c r="P574" s="29">
        <v>0</v>
      </c>
      <c r="Q574" s="32">
        <f>'Таблица 3 '!C564</f>
        <v>53551480.270000003</v>
      </c>
      <c r="R574" s="29">
        <f t="shared" si="118"/>
        <v>53551480.270000003</v>
      </c>
      <c r="S574" s="29">
        <v>0</v>
      </c>
      <c r="T574" s="29">
        <f t="shared" si="119"/>
        <v>7256.9864716165494</v>
      </c>
      <c r="U574" s="29">
        <f t="shared" si="120"/>
        <v>7256.9864716165494</v>
      </c>
      <c r="V574" s="33" t="s">
        <v>569</v>
      </c>
    </row>
    <row r="575" spans="1:22" s="23" customFormat="1" ht="42.75" customHeight="1" x14ac:dyDescent="0.25">
      <c r="A575" s="25">
        <v>110</v>
      </c>
      <c r="B575" s="26" t="s">
        <v>216</v>
      </c>
      <c r="C575" s="25" t="s">
        <v>43</v>
      </c>
      <c r="D575" s="27" t="s">
        <v>217</v>
      </c>
      <c r="E575" s="27" t="s">
        <v>39</v>
      </c>
      <c r="F575" s="25" t="s">
        <v>44</v>
      </c>
      <c r="G575" s="28">
        <v>4</v>
      </c>
      <c r="H575" s="28">
        <v>6</v>
      </c>
      <c r="I575" s="29">
        <v>5498.8</v>
      </c>
      <c r="J575" s="29">
        <v>5350.5</v>
      </c>
      <c r="K575" s="29">
        <v>3369.8</v>
      </c>
      <c r="L575" s="30">
        <v>79</v>
      </c>
      <c r="M575" s="31">
        <f t="shared" si="117"/>
        <v>68543536.25</v>
      </c>
      <c r="N575" s="29">
        <v>0</v>
      </c>
      <c r="O575" s="29">
        <v>0</v>
      </c>
      <c r="P575" s="29">
        <v>0</v>
      </c>
      <c r="Q575" s="32">
        <f>'Таблица 3 '!C565</f>
        <v>68543536.25</v>
      </c>
      <c r="R575" s="29">
        <f t="shared" si="118"/>
        <v>68543536.25</v>
      </c>
      <c r="S575" s="29">
        <v>0</v>
      </c>
      <c r="T575" s="29">
        <f t="shared" si="119"/>
        <v>12810.678674890198</v>
      </c>
      <c r="U575" s="29">
        <f t="shared" si="120"/>
        <v>12810.678674890198</v>
      </c>
      <c r="V575" s="33" t="s">
        <v>569</v>
      </c>
    </row>
    <row r="576" spans="1:22" s="23" customFormat="1" ht="42.75" customHeight="1" x14ac:dyDescent="0.25">
      <c r="A576" s="25">
        <v>111</v>
      </c>
      <c r="B576" s="34" t="s">
        <v>218</v>
      </c>
      <c r="C576" s="25" t="s">
        <v>43</v>
      </c>
      <c r="D576" s="27" t="s">
        <v>219</v>
      </c>
      <c r="E576" s="27" t="s">
        <v>39</v>
      </c>
      <c r="F576" s="25" t="s">
        <v>44</v>
      </c>
      <c r="G576" s="28">
        <v>4</v>
      </c>
      <c r="H576" s="28">
        <v>5</v>
      </c>
      <c r="I576" s="29">
        <v>5160.3</v>
      </c>
      <c r="J576" s="29">
        <v>4617</v>
      </c>
      <c r="K576" s="29">
        <v>3542.6</v>
      </c>
      <c r="L576" s="30">
        <v>98</v>
      </c>
      <c r="M576" s="31">
        <f t="shared" si="117"/>
        <v>59464145.879999995</v>
      </c>
      <c r="N576" s="29">
        <v>0</v>
      </c>
      <c r="O576" s="29">
        <v>0</v>
      </c>
      <c r="P576" s="29">
        <v>0</v>
      </c>
      <c r="Q576" s="32">
        <f>'Таблица 3 '!C566</f>
        <v>59464145.879999995</v>
      </c>
      <c r="R576" s="29">
        <f t="shared" si="118"/>
        <v>59464145.879999995</v>
      </c>
      <c r="S576" s="29">
        <v>0</v>
      </c>
      <c r="T576" s="29">
        <f t="shared" si="119"/>
        <v>12879.390487329434</v>
      </c>
      <c r="U576" s="29">
        <f t="shared" si="120"/>
        <v>12879.390487329434</v>
      </c>
      <c r="V576" s="33" t="s">
        <v>569</v>
      </c>
    </row>
    <row r="577" spans="1:23" s="108" customFormat="1" ht="42.75" customHeight="1" x14ac:dyDescent="0.25">
      <c r="A577" s="25">
        <v>112</v>
      </c>
      <c r="B577" s="26" t="s">
        <v>619</v>
      </c>
      <c r="C577" s="25" t="s">
        <v>43</v>
      </c>
      <c r="D577" s="27" t="s">
        <v>620</v>
      </c>
      <c r="E577" s="27" t="s">
        <v>39</v>
      </c>
      <c r="F577" s="25" t="s">
        <v>44</v>
      </c>
      <c r="G577" s="28">
        <v>5</v>
      </c>
      <c r="H577" s="28">
        <v>4</v>
      </c>
      <c r="I577" s="29">
        <v>5120.5</v>
      </c>
      <c r="J577" s="29">
        <v>4981.3999999999996</v>
      </c>
      <c r="K577" s="29">
        <v>0</v>
      </c>
      <c r="L577" s="30">
        <v>235</v>
      </c>
      <c r="M577" s="31">
        <f t="shared" si="117"/>
        <v>9885297.6699999999</v>
      </c>
      <c r="N577" s="29">
        <v>0</v>
      </c>
      <c r="O577" s="29">
        <v>0</v>
      </c>
      <c r="P577" s="29">
        <v>0</v>
      </c>
      <c r="Q577" s="32">
        <f>'Таблица 3 '!C567</f>
        <v>9885297.6699999999</v>
      </c>
      <c r="R577" s="29">
        <f t="shared" si="118"/>
        <v>9885297.6699999999</v>
      </c>
      <c r="S577" s="32">
        <v>0</v>
      </c>
      <c r="T577" s="29">
        <f t="shared" si="119"/>
        <v>1984.4416569639059</v>
      </c>
      <c r="U577" s="29">
        <f t="shared" si="120"/>
        <v>1984.4416569639059</v>
      </c>
      <c r="V577" s="33" t="s">
        <v>569</v>
      </c>
      <c r="W577" s="23"/>
    </row>
    <row r="578" spans="1:23" s="23" customFormat="1" ht="42.75" customHeight="1" x14ac:dyDescent="0.25">
      <c r="A578" s="25">
        <v>113</v>
      </c>
      <c r="B578" s="34" t="s">
        <v>220</v>
      </c>
      <c r="C578" s="25" t="s">
        <v>43</v>
      </c>
      <c r="D578" s="27" t="s">
        <v>221</v>
      </c>
      <c r="E578" s="27" t="s">
        <v>39</v>
      </c>
      <c r="F578" s="25" t="s">
        <v>44</v>
      </c>
      <c r="G578" s="28">
        <v>4</v>
      </c>
      <c r="H578" s="28">
        <v>5</v>
      </c>
      <c r="I578" s="29">
        <v>5039.1000000000004</v>
      </c>
      <c r="J578" s="29">
        <v>3603.4</v>
      </c>
      <c r="K578" s="29">
        <v>2886.4</v>
      </c>
      <c r="L578" s="30">
        <v>47</v>
      </c>
      <c r="M578" s="31">
        <f t="shared" si="117"/>
        <v>45303431.559999995</v>
      </c>
      <c r="N578" s="29">
        <v>0</v>
      </c>
      <c r="O578" s="29">
        <v>0</v>
      </c>
      <c r="P578" s="29">
        <v>0</v>
      </c>
      <c r="Q578" s="32">
        <f>'Таблица 3 '!C568</f>
        <v>45303431.559999995</v>
      </c>
      <c r="R578" s="29">
        <f t="shared" si="118"/>
        <v>45303431.559999995</v>
      </c>
      <c r="S578" s="29">
        <v>0</v>
      </c>
      <c r="T578" s="29">
        <f t="shared" si="119"/>
        <v>12572.412599211853</v>
      </c>
      <c r="U578" s="29">
        <f t="shared" si="120"/>
        <v>12572.412599211853</v>
      </c>
      <c r="V578" s="33" t="s">
        <v>569</v>
      </c>
    </row>
    <row r="579" spans="1:23" s="23" customFormat="1" ht="42.75" customHeight="1" x14ac:dyDescent="0.25">
      <c r="A579" s="25">
        <v>114</v>
      </c>
      <c r="B579" s="26" t="s">
        <v>621</v>
      </c>
      <c r="C579" s="25" t="s">
        <v>43</v>
      </c>
      <c r="D579" s="25">
        <v>1959</v>
      </c>
      <c r="E579" s="27" t="s">
        <v>40</v>
      </c>
      <c r="F579" s="25" t="s">
        <v>77</v>
      </c>
      <c r="G579" s="28">
        <v>2</v>
      </c>
      <c r="H579" s="28">
        <v>1</v>
      </c>
      <c r="I579" s="32">
        <v>476.95</v>
      </c>
      <c r="J579" s="32">
        <v>260.39999999999998</v>
      </c>
      <c r="K579" s="32">
        <v>224.9</v>
      </c>
      <c r="L579" s="35">
        <v>8</v>
      </c>
      <c r="M579" s="31">
        <f t="shared" si="117"/>
        <v>1308220.2100000002</v>
      </c>
      <c r="N579" s="29">
        <v>0</v>
      </c>
      <c r="O579" s="29">
        <v>0</v>
      </c>
      <c r="P579" s="29">
        <v>0</v>
      </c>
      <c r="Q579" s="32">
        <f>'Таблица 3 '!C569</f>
        <v>1308220.2100000002</v>
      </c>
      <c r="R579" s="29">
        <f t="shared" si="118"/>
        <v>1308220.2100000002</v>
      </c>
      <c r="S579" s="32">
        <v>0</v>
      </c>
      <c r="T579" s="29">
        <f t="shared" si="119"/>
        <v>5023.8871351766529</v>
      </c>
      <c r="U579" s="29">
        <f t="shared" si="120"/>
        <v>5023.8871351766529</v>
      </c>
      <c r="V579" s="33" t="s">
        <v>569</v>
      </c>
    </row>
    <row r="580" spans="1:23" s="23" customFormat="1" ht="42.75" customHeight="1" x14ac:dyDescent="0.25">
      <c r="A580" s="25">
        <v>115</v>
      </c>
      <c r="B580" s="26" t="s">
        <v>233</v>
      </c>
      <c r="C580" s="25" t="s">
        <v>43</v>
      </c>
      <c r="D580" s="25">
        <v>1954</v>
      </c>
      <c r="E580" s="27" t="s">
        <v>39</v>
      </c>
      <c r="F580" s="25" t="s">
        <v>44</v>
      </c>
      <c r="G580" s="28">
        <v>4</v>
      </c>
      <c r="H580" s="28">
        <v>5</v>
      </c>
      <c r="I580" s="29">
        <v>5190.7</v>
      </c>
      <c r="J580" s="29">
        <v>4164.3999999999996</v>
      </c>
      <c r="K580" s="29">
        <v>3706.4</v>
      </c>
      <c r="L580" s="30">
        <v>93</v>
      </c>
      <c r="M580" s="31">
        <f t="shared" si="117"/>
        <v>6429549.1100000003</v>
      </c>
      <c r="N580" s="29">
        <v>0</v>
      </c>
      <c r="O580" s="29">
        <v>0</v>
      </c>
      <c r="P580" s="29">
        <v>0</v>
      </c>
      <c r="Q580" s="32">
        <f>'Таблица 3 '!C570</f>
        <v>6429549.1100000003</v>
      </c>
      <c r="R580" s="29">
        <f t="shared" si="118"/>
        <v>6429549.1100000003</v>
      </c>
      <c r="S580" s="29">
        <v>0</v>
      </c>
      <c r="T580" s="29">
        <f t="shared" si="119"/>
        <v>1543.931685236769</v>
      </c>
      <c r="U580" s="29">
        <f t="shared" si="120"/>
        <v>1543.931685236769</v>
      </c>
      <c r="V580" s="33" t="s">
        <v>569</v>
      </c>
    </row>
    <row r="581" spans="1:23" s="23" customFormat="1" ht="42.75" customHeight="1" x14ac:dyDescent="0.25">
      <c r="A581" s="25">
        <v>116</v>
      </c>
      <c r="B581" s="26" t="s">
        <v>235</v>
      </c>
      <c r="C581" s="25" t="s">
        <v>43</v>
      </c>
      <c r="D581" s="27" t="s">
        <v>145</v>
      </c>
      <c r="E581" s="27" t="s">
        <v>39</v>
      </c>
      <c r="F581" s="25" t="s">
        <v>44</v>
      </c>
      <c r="G581" s="28">
        <v>5</v>
      </c>
      <c r="H581" s="28">
        <v>8</v>
      </c>
      <c r="I581" s="29">
        <v>9456.4</v>
      </c>
      <c r="J581" s="29">
        <v>5716.3</v>
      </c>
      <c r="K581" s="29">
        <v>5239.5</v>
      </c>
      <c r="L581" s="30">
        <v>167</v>
      </c>
      <c r="M581" s="31">
        <f t="shared" si="117"/>
        <v>12827901.35</v>
      </c>
      <c r="N581" s="29">
        <v>0</v>
      </c>
      <c r="O581" s="29">
        <v>0</v>
      </c>
      <c r="P581" s="29">
        <v>0</v>
      </c>
      <c r="Q581" s="32">
        <f>'Таблица 3 '!C571</f>
        <v>12827901.35</v>
      </c>
      <c r="R581" s="29">
        <f t="shared" si="118"/>
        <v>12827901.35</v>
      </c>
      <c r="S581" s="29">
        <v>0</v>
      </c>
      <c r="T581" s="29">
        <f t="shared" si="119"/>
        <v>2244.0916939278904</v>
      </c>
      <c r="U581" s="29">
        <f t="shared" si="120"/>
        <v>2244.0916939278904</v>
      </c>
      <c r="V581" s="33" t="s">
        <v>569</v>
      </c>
    </row>
    <row r="582" spans="1:23" s="23" customFormat="1" ht="42.75" customHeight="1" x14ac:dyDescent="0.25">
      <c r="A582" s="25">
        <v>117</v>
      </c>
      <c r="B582" s="26" t="s">
        <v>236</v>
      </c>
      <c r="C582" s="25" t="s">
        <v>43</v>
      </c>
      <c r="D582" s="25">
        <v>1959</v>
      </c>
      <c r="E582" s="27" t="s">
        <v>622</v>
      </c>
      <c r="F582" s="25" t="s">
        <v>44</v>
      </c>
      <c r="G582" s="28">
        <v>2</v>
      </c>
      <c r="H582" s="28">
        <v>2</v>
      </c>
      <c r="I582" s="29">
        <v>428.5</v>
      </c>
      <c r="J582" s="29">
        <v>386.1</v>
      </c>
      <c r="K582" s="29">
        <v>318.7</v>
      </c>
      <c r="L582" s="30">
        <v>23</v>
      </c>
      <c r="M582" s="31">
        <f t="shared" si="117"/>
        <v>159073.20000000001</v>
      </c>
      <c r="N582" s="29">
        <v>0</v>
      </c>
      <c r="O582" s="29">
        <v>0</v>
      </c>
      <c r="P582" s="29">
        <v>0</v>
      </c>
      <c r="Q582" s="32">
        <f>'Таблица 3 '!C572</f>
        <v>159073.20000000001</v>
      </c>
      <c r="R582" s="29">
        <f t="shared" si="118"/>
        <v>159073.20000000001</v>
      </c>
      <c r="S582" s="29">
        <v>0</v>
      </c>
      <c r="T582" s="29">
        <f t="shared" si="119"/>
        <v>412</v>
      </c>
      <c r="U582" s="29">
        <f t="shared" si="120"/>
        <v>412</v>
      </c>
      <c r="V582" s="33" t="s">
        <v>569</v>
      </c>
    </row>
    <row r="583" spans="1:23" s="23" customFormat="1" ht="42.75" customHeight="1" x14ac:dyDescent="0.25">
      <c r="A583" s="25">
        <v>118</v>
      </c>
      <c r="B583" s="26" t="s">
        <v>623</v>
      </c>
      <c r="C583" s="25" t="s">
        <v>43</v>
      </c>
      <c r="D583" s="25">
        <v>1957</v>
      </c>
      <c r="E583" s="27" t="s">
        <v>50</v>
      </c>
      <c r="F583" s="25" t="s">
        <v>77</v>
      </c>
      <c r="G583" s="28">
        <v>2</v>
      </c>
      <c r="H583" s="28">
        <v>1</v>
      </c>
      <c r="I583" s="32">
        <v>937.6</v>
      </c>
      <c r="J583" s="32">
        <v>514.6</v>
      </c>
      <c r="K583" s="32">
        <v>458.4</v>
      </c>
      <c r="L583" s="35">
        <v>22</v>
      </c>
      <c r="M583" s="31">
        <f t="shared" si="117"/>
        <v>871099.53</v>
      </c>
      <c r="N583" s="29">
        <v>0</v>
      </c>
      <c r="O583" s="29">
        <v>0</v>
      </c>
      <c r="P583" s="29">
        <v>0</v>
      </c>
      <c r="Q583" s="32">
        <f>'Таблица 3 '!C573</f>
        <v>871099.53</v>
      </c>
      <c r="R583" s="29">
        <f t="shared" si="118"/>
        <v>871099.53</v>
      </c>
      <c r="S583" s="32">
        <v>0</v>
      </c>
      <c r="T583" s="29">
        <f t="shared" si="119"/>
        <v>1692.7701710066071</v>
      </c>
      <c r="U583" s="29">
        <f t="shared" si="120"/>
        <v>1692.7701710066071</v>
      </c>
      <c r="V583" s="33" t="s">
        <v>569</v>
      </c>
    </row>
    <row r="584" spans="1:23" s="23" customFormat="1" ht="42.75" customHeight="1" x14ac:dyDescent="0.25">
      <c r="A584" s="25">
        <v>119</v>
      </c>
      <c r="B584" s="26" t="s">
        <v>238</v>
      </c>
      <c r="C584" s="25" t="s">
        <v>43</v>
      </c>
      <c r="D584" s="27" t="s">
        <v>126</v>
      </c>
      <c r="E584" s="27" t="s">
        <v>140</v>
      </c>
      <c r="F584" s="25" t="s">
        <v>44</v>
      </c>
      <c r="G584" s="28">
        <v>2</v>
      </c>
      <c r="H584" s="28">
        <v>2</v>
      </c>
      <c r="I584" s="29">
        <v>605.79999999999995</v>
      </c>
      <c r="J584" s="29">
        <v>575.20000000000005</v>
      </c>
      <c r="K584" s="29">
        <v>374.3</v>
      </c>
      <c r="L584" s="30">
        <v>35</v>
      </c>
      <c r="M584" s="31">
        <f t="shared" si="117"/>
        <v>5294633.6300000008</v>
      </c>
      <c r="N584" s="29">
        <v>0</v>
      </c>
      <c r="O584" s="29">
        <v>0</v>
      </c>
      <c r="P584" s="29">
        <v>0</v>
      </c>
      <c r="Q584" s="32">
        <f>'Таблица 3 '!C574</f>
        <v>5294633.6300000008</v>
      </c>
      <c r="R584" s="29">
        <f t="shared" si="118"/>
        <v>5294633.6300000008</v>
      </c>
      <c r="S584" s="29">
        <v>0</v>
      </c>
      <c r="T584" s="29">
        <f t="shared" si="119"/>
        <v>9204.8567976356062</v>
      </c>
      <c r="U584" s="29">
        <f t="shared" si="120"/>
        <v>9204.8567976356062</v>
      </c>
      <c r="V584" s="33" t="s">
        <v>569</v>
      </c>
    </row>
    <row r="585" spans="1:23" s="23" customFormat="1" ht="42.75" customHeight="1" x14ac:dyDescent="0.25">
      <c r="A585" s="25">
        <v>120</v>
      </c>
      <c r="B585" s="26" t="s">
        <v>624</v>
      </c>
      <c r="C585" s="25" t="s">
        <v>43</v>
      </c>
      <c r="D585" s="27" t="s">
        <v>163</v>
      </c>
      <c r="E585" s="27" t="s">
        <v>39</v>
      </c>
      <c r="F585" s="25" t="s">
        <v>44</v>
      </c>
      <c r="G585" s="28">
        <v>4</v>
      </c>
      <c r="H585" s="28">
        <v>2</v>
      </c>
      <c r="I585" s="29">
        <v>1385</v>
      </c>
      <c r="J585" s="29">
        <v>1263.8</v>
      </c>
      <c r="K585" s="29">
        <v>905.2</v>
      </c>
      <c r="L585" s="30">
        <v>43</v>
      </c>
      <c r="M585" s="31">
        <f t="shared" si="117"/>
        <v>350382</v>
      </c>
      <c r="N585" s="29">
        <v>0</v>
      </c>
      <c r="O585" s="29">
        <v>0</v>
      </c>
      <c r="P585" s="29">
        <v>0</v>
      </c>
      <c r="Q585" s="32">
        <f>'Таблица 3 '!C575</f>
        <v>350382</v>
      </c>
      <c r="R585" s="29">
        <f t="shared" si="118"/>
        <v>350382</v>
      </c>
      <c r="S585" s="29">
        <v>0</v>
      </c>
      <c r="T585" s="29">
        <f t="shared" si="119"/>
        <v>277.24481721791426</v>
      </c>
      <c r="U585" s="29">
        <f t="shared" si="120"/>
        <v>277.24481721791426</v>
      </c>
      <c r="V585" s="33" t="s">
        <v>569</v>
      </c>
    </row>
    <row r="586" spans="1:23" s="23" customFormat="1" ht="42.75" customHeight="1" x14ac:dyDescent="0.25">
      <c r="A586" s="25">
        <v>121</v>
      </c>
      <c r="B586" s="26" t="s">
        <v>240</v>
      </c>
      <c r="C586" s="25" t="s">
        <v>43</v>
      </c>
      <c r="D586" s="27" t="s">
        <v>230</v>
      </c>
      <c r="E586" s="27" t="s">
        <v>63</v>
      </c>
      <c r="F586" s="25" t="s">
        <v>44</v>
      </c>
      <c r="G586" s="28">
        <v>2</v>
      </c>
      <c r="H586" s="28">
        <v>2</v>
      </c>
      <c r="I586" s="29">
        <v>922.9</v>
      </c>
      <c r="J586" s="29">
        <v>836.4</v>
      </c>
      <c r="K586" s="29">
        <v>630.70000000000005</v>
      </c>
      <c r="L586" s="30">
        <v>27</v>
      </c>
      <c r="M586" s="31">
        <f t="shared" si="117"/>
        <v>6755181.2199999997</v>
      </c>
      <c r="N586" s="29">
        <v>0</v>
      </c>
      <c r="O586" s="29">
        <v>0</v>
      </c>
      <c r="P586" s="29">
        <v>0</v>
      </c>
      <c r="Q586" s="32">
        <f>'Таблица 3 '!C576</f>
        <v>6755181.2199999997</v>
      </c>
      <c r="R586" s="29">
        <f t="shared" si="118"/>
        <v>6755181.2199999997</v>
      </c>
      <c r="S586" s="29">
        <v>0</v>
      </c>
      <c r="T586" s="29">
        <f t="shared" si="119"/>
        <v>8076.4959588713537</v>
      </c>
      <c r="U586" s="29">
        <f t="shared" si="120"/>
        <v>8076.4959588713537</v>
      </c>
      <c r="V586" s="33" t="s">
        <v>569</v>
      </c>
    </row>
    <row r="587" spans="1:23" s="23" customFormat="1" ht="42.75" customHeight="1" x14ac:dyDescent="0.25">
      <c r="A587" s="25">
        <v>122</v>
      </c>
      <c r="B587" s="26" t="s">
        <v>625</v>
      </c>
      <c r="C587" s="25" t="s">
        <v>43</v>
      </c>
      <c r="D587" s="27" t="s">
        <v>195</v>
      </c>
      <c r="E587" s="27" t="s">
        <v>39</v>
      </c>
      <c r="F587" s="25" t="s">
        <v>44</v>
      </c>
      <c r="G587" s="28">
        <v>2</v>
      </c>
      <c r="H587" s="28">
        <v>2</v>
      </c>
      <c r="I587" s="29">
        <v>676</v>
      </c>
      <c r="J587" s="29">
        <v>632.6</v>
      </c>
      <c r="K587" s="29">
        <v>632.6</v>
      </c>
      <c r="L587" s="30">
        <v>29</v>
      </c>
      <c r="M587" s="31">
        <f t="shared" si="117"/>
        <v>4886132.37</v>
      </c>
      <c r="N587" s="29">
        <v>0</v>
      </c>
      <c r="O587" s="29">
        <v>0</v>
      </c>
      <c r="P587" s="29">
        <v>0</v>
      </c>
      <c r="Q587" s="32">
        <f>'Таблица 3 '!C577</f>
        <v>4886132.37</v>
      </c>
      <c r="R587" s="29">
        <f t="shared" si="118"/>
        <v>4886132.37</v>
      </c>
      <c r="S587" s="29">
        <v>0</v>
      </c>
      <c r="T587" s="29">
        <f t="shared" si="119"/>
        <v>7723.8892981346826</v>
      </c>
      <c r="U587" s="29">
        <f t="shared" si="120"/>
        <v>7723.8892981346826</v>
      </c>
      <c r="V587" s="33" t="s">
        <v>569</v>
      </c>
    </row>
    <row r="588" spans="1:23" s="23" customFormat="1" ht="42.75" customHeight="1" x14ac:dyDescent="0.25">
      <c r="A588" s="25">
        <v>123</v>
      </c>
      <c r="B588" s="26" t="s">
        <v>243</v>
      </c>
      <c r="C588" s="25" t="s">
        <v>43</v>
      </c>
      <c r="D588" s="27" t="s">
        <v>244</v>
      </c>
      <c r="E588" s="27" t="s">
        <v>39</v>
      </c>
      <c r="F588" s="25" t="s">
        <v>44</v>
      </c>
      <c r="G588" s="28">
        <v>9</v>
      </c>
      <c r="H588" s="28">
        <v>4</v>
      </c>
      <c r="I588" s="29">
        <v>11117.3</v>
      </c>
      <c r="J588" s="29">
        <v>9860.7999999999993</v>
      </c>
      <c r="K588" s="29">
        <v>9860.7999999999993</v>
      </c>
      <c r="L588" s="30">
        <v>217</v>
      </c>
      <c r="M588" s="31">
        <f t="shared" si="117"/>
        <v>16126293.210000001</v>
      </c>
      <c r="N588" s="29">
        <v>0</v>
      </c>
      <c r="O588" s="29">
        <v>0</v>
      </c>
      <c r="P588" s="29">
        <v>0</v>
      </c>
      <c r="Q588" s="32">
        <f>'Таблица 3 '!C578</f>
        <v>16126293.210000001</v>
      </c>
      <c r="R588" s="29">
        <f t="shared" si="118"/>
        <v>16126293.210000001</v>
      </c>
      <c r="S588" s="29">
        <v>0</v>
      </c>
      <c r="T588" s="29">
        <f t="shared" si="119"/>
        <v>1635.3940055573587</v>
      </c>
      <c r="U588" s="29">
        <f t="shared" si="120"/>
        <v>1635.3940055573587</v>
      </c>
      <c r="V588" s="33" t="s">
        <v>569</v>
      </c>
    </row>
    <row r="589" spans="1:23" s="23" customFormat="1" ht="42.75" customHeight="1" x14ac:dyDescent="0.25">
      <c r="A589" s="25">
        <v>124</v>
      </c>
      <c r="B589" s="26" t="s">
        <v>246</v>
      </c>
      <c r="C589" s="25" t="s">
        <v>43</v>
      </c>
      <c r="D589" s="25">
        <v>1978</v>
      </c>
      <c r="E589" s="27" t="s">
        <v>63</v>
      </c>
      <c r="F589" s="25" t="s">
        <v>44</v>
      </c>
      <c r="G589" s="28">
        <v>5</v>
      </c>
      <c r="H589" s="28">
        <v>4</v>
      </c>
      <c r="I589" s="29">
        <v>3838</v>
      </c>
      <c r="J589" s="29">
        <v>3393.6</v>
      </c>
      <c r="K589" s="29">
        <v>3012.3</v>
      </c>
      <c r="L589" s="30">
        <v>121</v>
      </c>
      <c r="M589" s="31">
        <f t="shared" si="117"/>
        <v>18034758.48</v>
      </c>
      <c r="N589" s="29">
        <v>0</v>
      </c>
      <c r="O589" s="29">
        <v>0</v>
      </c>
      <c r="P589" s="29">
        <v>0</v>
      </c>
      <c r="Q589" s="32">
        <f>'Таблица 3 '!C579</f>
        <v>18034758.48</v>
      </c>
      <c r="R589" s="29">
        <f t="shared" si="118"/>
        <v>18034758.48</v>
      </c>
      <c r="S589" s="29">
        <v>0</v>
      </c>
      <c r="T589" s="29">
        <f t="shared" si="119"/>
        <v>5314.3442008486563</v>
      </c>
      <c r="U589" s="29">
        <f t="shared" si="120"/>
        <v>5314.3442008486563</v>
      </c>
      <c r="V589" s="33" t="s">
        <v>569</v>
      </c>
    </row>
    <row r="590" spans="1:23" s="23" customFormat="1" ht="42.75" customHeight="1" x14ac:dyDescent="0.25">
      <c r="A590" s="25">
        <v>125</v>
      </c>
      <c r="B590" s="26" t="s">
        <v>626</v>
      </c>
      <c r="C590" s="25" t="s">
        <v>43</v>
      </c>
      <c r="D590" s="25">
        <v>1952</v>
      </c>
      <c r="E590" s="27" t="s">
        <v>39</v>
      </c>
      <c r="F590" s="25" t="s">
        <v>563</v>
      </c>
      <c r="G590" s="28">
        <v>2</v>
      </c>
      <c r="H590" s="28">
        <v>1</v>
      </c>
      <c r="I590" s="29">
        <v>383.1</v>
      </c>
      <c r="J590" s="29">
        <v>379.7</v>
      </c>
      <c r="K590" s="29">
        <v>379.7</v>
      </c>
      <c r="L590" s="30">
        <v>21</v>
      </c>
      <c r="M590" s="31">
        <f t="shared" si="117"/>
        <v>265594</v>
      </c>
      <c r="N590" s="29">
        <v>0</v>
      </c>
      <c r="O590" s="29">
        <v>0</v>
      </c>
      <c r="P590" s="29">
        <v>0</v>
      </c>
      <c r="Q590" s="32">
        <f>'Таблица 3 '!C580</f>
        <v>265594</v>
      </c>
      <c r="R590" s="29">
        <f t="shared" si="118"/>
        <v>265594</v>
      </c>
      <c r="S590" s="29">
        <v>0</v>
      </c>
      <c r="T590" s="29">
        <f t="shared" si="119"/>
        <v>699.48380300237034</v>
      </c>
      <c r="U590" s="29">
        <f t="shared" si="120"/>
        <v>699.48380300237034</v>
      </c>
      <c r="V590" s="33" t="s">
        <v>569</v>
      </c>
    </row>
    <row r="591" spans="1:23" s="23" customFormat="1" ht="42.75" customHeight="1" x14ac:dyDescent="0.25">
      <c r="A591" s="25">
        <v>126</v>
      </c>
      <c r="B591" s="26" t="s">
        <v>627</v>
      </c>
      <c r="C591" s="25" t="s">
        <v>43</v>
      </c>
      <c r="D591" s="25">
        <v>1964</v>
      </c>
      <c r="E591" s="27" t="s">
        <v>39</v>
      </c>
      <c r="F591" s="25" t="s">
        <v>44</v>
      </c>
      <c r="G591" s="28">
        <v>5</v>
      </c>
      <c r="H591" s="28">
        <v>5</v>
      </c>
      <c r="I591" s="29">
        <v>4340.7</v>
      </c>
      <c r="J591" s="29">
        <v>4340.7</v>
      </c>
      <c r="K591" s="29">
        <v>4253.6000000000004</v>
      </c>
      <c r="L591" s="30">
        <v>164</v>
      </c>
      <c r="M591" s="31">
        <f t="shared" si="117"/>
        <v>23768737.870000001</v>
      </c>
      <c r="N591" s="29">
        <v>0</v>
      </c>
      <c r="O591" s="29">
        <v>0</v>
      </c>
      <c r="P591" s="29">
        <v>0</v>
      </c>
      <c r="Q591" s="32">
        <f>'Таблица 3 '!C581</f>
        <v>23768737.870000001</v>
      </c>
      <c r="R591" s="29">
        <f t="shared" si="118"/>
        <v>23768737.870000001</v>
      </c>
      <c r="S591" s="29">
        <v>0</v>
      </c>
      <c r="T591" s="29">
        <f t="shared" si="119"/>
        <v>5475.7845209298048</v>
      </c>
      <c r="U591" s="29">
        <f t="shared" si="120"/>
        <v>5475.7845209298048</v>
      </c>
      <c r="V591" s="33" t="s">
        <v>569</v>
      </c>
    </row>
    <row r="592" spans="1:23" s="23" customFormat="1" ht="42.75" customHeight="1" x14ac:dyDescent="0.25">
      <c r="A592" s="25">
        <v>127</v>
      </c>
      <c r="B592" s="26" t="s">
        <v>248</v>
      </c>
      <c r="C592" s="25" t="s">
        <v>43</v>
      </c>
      <c r="D592" s="25">
        <v>1962</v>
      </c>
      <c r="E592" s="27" t="s">
        <v>140</v>
      </c>
      <c r="F592" s="25" t="s">
        <v>77</v>
      </c>
      <c r="G592" s="28">
        <v>3</v>
      </c>
      <c r="H592" s="28">
        <v>4</v>
      </c>
      <c r="I592" s="32">
        <v>2536</v>
      </c>
      <c r="J592" s="32">
        <v>2372.1999999999998</v>
      </c>
      <c r="K592" s="32">
        <v>1808.1</v>
      </c>
      <c r="L592" s="35">
        <v>79</v>
      </c>
      <c r="M592" s="31">
        <f t="shared" si="117"/>
        <v>21835761.299999997</v>
      </c>
      <c r="N592" s="29">
        <v>0</v>
      </c>
      <c r="O592" s="29">
        <v>0</v>
      </c>
      <c r="P592" s="29">
        <v>0</v>
      </c>
      <c r="Q592" s="32">
        <f>'Таблица 3 '!C582</f>
        <v>21835761.299999997</v>
      </c>
      <c r="R592" s="29">
        <f t="shared" si="118"/>
        <v>21835761.299999997</v>
      </c>
      <c r="S592" s="32">
        <v>0</v>
      </c>
      <c r="T592" s="29">
        <f t="shared" si="119"/>
        <v>9204.8567995953126</v>
      </c>
      <c r="U592" s="29">
        <f t="shared" si="120"/>
        <v>9204.8567995953126</v>
      </c>
      <c r="V592" s="33" t="s">
        <v>569</v>
      </c>
    </row>
    <row r="593" spans="1:22" s="23" customFormat="1" ht="42.75" customHeight="1" x14ac:dyDescent="0.25">
      <c r="A593" s="25">
        <v>128</v>
      </c>
      <c r="B593" s="26" t="s">
        <v>628</v>
      </c>
      <c r="C593" s="25" t="s">
        <v>43</v>
      </c>
      <c r="D593" s="25">
        <v>1970</v>
      </c>
      <c r="E593" s="27" t="s">
        <v>39</v>
      </c>
      <c r="F593" s="25" t="s">
        <v>48</v>
      </c>
      <c r="G593" s="28">
        <v>5</v>
      </c>
      <c r="H593" s="28">
        <v>7</v>
      </c>
      <c r="I593" s="29">
        <v>8867.6</v>
      </c>
      <c r="J593" s="29">
        <v>7088.4</v>
      </c>
      <c r="K593" s="29">
        <v>6924.6</v>
      </c>
      <c r="L593" s="30">
        <v>279</v>
      </c>
      <c r="M593" s="31">
        <f t="shared" si="117"/>
        <v>25367756.629999995</v>
      </c>
      <c r="N593" s="29">
        <v>0</v>
      </c>
      <c r="O593" s="29">
        <v>0</v>
      </c>
      <c r="P593" s="29">
        <v>0</v>
      </c>
      <c r="Q593" s="32">
        <f>'Таблица 3 '!C583</f>
        <v>25367756.629999995</v>
      </c>
      <c r="R593" s="29">
        <f t="shared" si="118"/>
        <v>25367756.629999995</v>
      </c>
      <c r="S593" s="29">
        <v>0</v>
      </c>
      <c r="T593" s="29">
        <f t="shared" si="119"/>
        <v>3578.7704742960323</v>
      </c>
      <c r="U593" s="29">
        <f t="shared" si="120"/>
        <v>3578.7704742960323</v>
      </c>
      <c r="V593" s="33" t="s">
        <v>569</v>
      </c>
    </row>
    <row r="594" spans="1:22" s="23" customFormat="1" ht="42.75" customHeight="1" x14ac:dyDescent="0.25">
      <c r="A594" s="25">
        <v>129</v>
      </c>
      <c r="B594" s="26" t="s">
        <v>249</v>
      </c>
      <c r="C594" s="25" t="s">
        <v>43</v>
      </c>
      <c r="D594" s="25">
        <v>1961</v>
      </c>
      <c r="E594" s="27" t="s">
        <v>228</v>
      </c>
      <c r="F594" s="25" t="s">
        <v>44</v>
      </c>
      <c r="G594" s="28">
        <v>4</v>
      </c>
      <c r="H594" s="28">
        <v>3</v>
      </c>
      <c r="I594" s="29">
        <v>2605.8000000000002</v>
      </c>
      <c r="J594" s="29">
        <v>1807.6</v>
      </c>
      <c r="K594" s="29">
        <v>1697.1</v>
      </c>
      <c r="L594" s="30">
        <v>69</v>
      </c>
      <c r="M594" s="31">
        <f t="shared" ref="M594:M636" si="121">SUM(N594:Q594)</f>
        <v>13119684.439999999</v>
      </c>
      <c r="N594" s="29">
        <v>0</v>
      </c>
      <c r="O594" s="29">
        <v>0</v>
      </c>
      <c r="P594" s="29">
        <v>0</v>
      </c>
      <c r="Q594" s="32">
        <f>'Таблица 3 '!C584</f>
        <v>13119684.439999999</v>
      </c>
      <c r="R594" s="29">
        <f t="shared" ref="R594:R636" si="122">Q594</f>
        <v>13119684.439999999</v>
      </c>
      <c r="S594" s="29">
        <v>0</v>
      </c>
      <c r="T594" s="29">
        <f t="shared" si="119"/>
        <v>7258.0684000885149</v>
      </c>
      <c r="U594" s="29">
        <f t="shared" si="120"/>
        <v>7258.0684000885149</v>
      </c>
      <c r="V594" s="33" t="s">
        <v>569</v>
      </c>
    </row>
    <row r="595" spans="1:22" s="23" customFormat="1" ht="42.75" customHeight="1" x14ac:dyDescent="0.25">
      <c r="A595" s="25">
        <v>130</v>
      </c>
      <c r="B595" s="26" t="s">
        <v>253</v>
      </c>
      <c r="C595" s="25" t="s">
        <v>43</v>
      </c>
      <c r="D595" s="27" t="s">
        <v>126</v>
      </c>
      <c r="E595" s="27" t="s">
        <v>39</v>
      </c>
      <c r="F595" s="25" t="s">
        <v>44</v>
      </c>
      <c r="G595" s="28">
        <v>4</v>
      </c>
      <c r="H595" s="28">
        <v>3</v>
      </c>
      <c r="I595" s="29">
        <v>1915.1</v>
      </c>
      <c r="J595" s="29">
        <v>1915.1</v>
      </c>
      <c r="K595" s="29">
        <v>1618.8</v>
      </c>
      <c r="L595" s="30">
        <v>29</v>
      </c>
      <c r="M595" s="31">
        <f t="shared" si="121"/>
        <v>8575163.8000000007</v>
      </c>
      <c r="N595" s="29">
        <v>0</v>
      </c>
      <c r="O595" s="29">
        <v>0</v>
      </c>
      <c r="P595" s="29">
        <v>0</v>
      </c>
      <c r="Q595" s="32">
        <f>'Таблица 3 '!C585</f>
        <v>8575163.8000000007</v>
      </c>
      <c r="R595" s="29">
        <f t="shared" si="122"/>
        <v>8575163.8000000007</v>
      </c>
      <c r="S595" s="29">
        <v>0</v>
      </c>
      <c r="T595" s="29">
        <f t="shared" si="119"/>
        <v>4477.6585034724039</v>
      </c>
      <c r="U595" s="29">
        <f t="shared" si="120"/>
        <v>4477.6585034724039</v>
      </c>
      <c r="V595" s="33" t="s">
        <v>569</v>
      </c>
    </row>
    <row r="596" spans="1:22" s="23" customFormat="1" ht="42.75" customHeight="1" x14ac:dyDescent="0.25">
      <c r="A596" s="25">
        <v>131</v>
      </c>
      <c r="B596" s="26" t="s">
        <v>255</v>
      </c>
      <c r="C596" s="25" t="s">
        <v>43</v>
      </c>
      <c r="D596" s="25">
        <v>1983</v>
      </c>
      <c r="E596" s="27" t="s">
        <v>39</v>
      </c>
      <c r="F596" s="25" t="s">
        <v>44</v>
      </c>
      <c r="G596" s="28">
        <v>5</v>
      </c>
      <c r="H596" s="28">
        <v>4</v>
      </c>
      <c r="I596" s="29">
        <v>3007.9</v>
      </c>
      <c r="J596" s="29">
        <v>2755.5</v>
      </c>
      <c r="K596" s="29">
        <v>2598.6</v>
      </c>
      <c r="L596" s="30">
        <v>115</v>
      </c>
      <c r="M596" s="31">
        <f t="shared" si="121"/>
        <v>14643675.439999999</v>
      </c>
      <c r="N596" s="29">
        <v>0</v>
      </c>
      <c r="O596" s="29">
        <v>0</v>
      </c>
      <c r="P596" s="29">
        <v>0</v>
      </c>
      <c r="Q596" s="32">
        <f>'Таблица 3 '!C586</f>
        <v>14643675.439999999</v>
      </c>
      <c r="R596" s="29">
        <f t="shared" si="122"/>
        <v>14643675.439999999</v>
      </c>
      <c r="S596" s="29">
        <v>0</v>
      </c>
      <c r="T596" s="29">
        <f t="shared" si="119"/>
        <v>5314.3441988749773</v>
      </c>
      <c r="U596" s="29">
        <f t="shared" si="120"/>
        <v>5314.3441988749773</v>
      </c>
      <c r="V596" s="33" t="s">
        <v>569</v>
      </c>
    </row>
    <row r="597" spans="1:22" s="23" customFormat="1" ht="42.75" customHeight="1" x14ac:dyDescent="0.25">
      <c r="A597" s="25">
        <v>132</v>
      </c>
      <c r="B597" s="26" t="s">
        <v>256</v>
      </c>
      <c r="C597" s="25" t="s">
        <v>43</v>
      </c>
      <c r="D597" s="25">
        <v>1971</v>
      </c>
      <c r="E597" s="27" t="s">
        <v>50</v>
      </c>
      <c r="F597" s="25" t="s">
        <v>48</v>
      </c>
      <c r="G597" s="28">
        <v>5</v>
      </c>
      <c r="H597" s="28">
        <v>4</v>
      </c>
      <c r="I597" s="29">
        <v>3947.2</v>
      </c>
      <c r="J597" s="29">
        <v>2349.4</v>
      </c>
      <c r="K597" s="29">
        <v>1939</v>
      </c>
      <c r="L597" s="30">
        <v>80</v>
      </c>
      <c r="M597" s="31">
        <f t="shared" si="121"/>
        <v>8311834.1399999997</v>
      </c>
      <c r="N597" s="29">
        <v>0</v>
      </c>
      <c r="O597" s="29">
        <v>0</v>
      </c>
      <c r="P597" s="29">
        <v>0</v>
      </c>
      <c r="Q597" s="32">
        <f>'Таблица 3 '!C587</f>
        <v>8311834.1399999997</v>
      </c>
      <c r="R597" s="29">
        <f t="shared" si="122"/>
        <v>8311834.1399999997</v>
      </c>
      <c r="S597" s="29">
        <v>0</v>
      </c>
      <c r="T597" s="29">
        <f t="shared" ref="T597:T660" si="123">M597/J597</f>
        <v>3537.8539797395078</v>
      </c>
      <c r="U597" s="29">
        <f t="shared" ref="U597:U653" si="124">T597</f>
        <v>3537.8539797395078</v>
      </c>
      <c r="V597" s="33" t="s">
        <v>569</v>
      </c>
    </row>
    <row r="598" spans="1:22" s="23" customFormat="1" ht="42.75" customHeight="1" x14ac:dyDescent="0.25">
      <c r="A598" s="25">
        <v>133</v>
      </c>
      <c r="B598" s="26" t="s">
        <v>259</v>
      </c>
      <c r="C598" s="25" t="s">
        <v>43</v>
      </c>
      <c r="D598" s="25">
        <v>1988</v>
      </c>
      <c r="E598" s="27" t="s">
        <v>39</v>
      </c>
      <c r="F598" s="25" t="s">
        <v>44</v>
      </c>
      <c r="G598" s="28">
        <v>3</v>
      </c>
      <c r="H598" s="28">
        <v>1</v>
      </c>
      <c r="I598" s="29">
        <v>1747.3</v>
      </c>
      <c r="J598" s="29">
        <v>561.6</v>
      </c>
      <c r="K598" s="29">
        <v>482.8</v>
      </c>
      <c r="L598" s="30">
        <v>79</v>
      </c>
      <c r="M598" s="31">
        <f t="shared" si="121"/>
        <v>3729108.69</v>
      </c>
      <c r="N598" s="29">
        <v>0</v>
      </c>
      <c r="O598" s="29">
        <v>0</v>
      </c>
      <c r="P598" s="29">
        <v>0</v>
      </c>
      <c r="Q598" s="32">
        <f>'Таблица 3 '!C588</f>
        <v>3729108.69</v>
      </c>
      <c r="R598" s="29">
        <f t="shared" si="122"/>
        <v>3729108.69</v>
      </c>
      <c r="S598" s="29">
        <v>0</v>
      </c>
      <c r="T598" s="29">
        <f t="shared" si="123"/>
        <v>6640.1508012820514</v>
      </c>
      <c r="U598" s="29">
        <f t="shared" si="124"/>
        <v>6640.1508012820514</v>
      </c>
      <c r="V598" s="33" t="s">
        <v>569</v>
      </c>
    </row>
    <row r="599" spans="1:22" s="23" customFormat="1" ht="42.75" customHeight="1" x14ac:dyDescent="0.25">
      <c r="A599" s="25">
        <v>134</v>
      </c>
      <c r="B599" s="36" t="s">
        <v>260</v>
      </c>
      <c r="C599" s="25" t="s">
        <v>43</v>
      </c>
      <c r="D599" s="25">
        <v>1984</v>
      </c>
      <c r="E599" s="27" t="s">
        <v>39</v>
      </c>
      <c r="F599" s="25" t="s">
        <v>48</v>
      </c>
      <c r="G599" s="28">
        <v>5</v>
      </c>
      <c r="H599" s="28">
        <v>4</v>
      </c>
      <c r="I599" s="32">
        <v>4013.12</v>
      </c>
      <c r="J599" s="32">
        <v>2895.1</v>
      </c>
      <c r="K599" s="32">
        <v>2850.7</v>
      </c>
      <c r="L599" s="35">
        <v>111</v>
      </c>
      <c r="M599" s="31">
        <f t="shared" si="121"/>
        <v>15385557.889999999</v>
      </c>
      <c r="N599" s="29">
        <v>0</v>
      </c>
      <c r="O599" s="29">
        <v>0</v>
      </c>
      <c r="P599" s="29">
        <v>0</v>
      </c>
      <c r="Q599" s="32">
        <f>'Таблица 3 '!C589</f>
        <v>15385557.889999999</v>
      </c>
      <c r="R599" s="29">
        <f t="shared" si="122"/>
        <v>15385557.889999999</v>
      </c>
      <c r="S599" s="32">
        <v>0</v>
      </c>
      <c r="T599" s="29">
        <f t="shared" si="123"/>
        <v>5314.3441988186933</v>
      </c>
      <c r="U599" s="29">
        <f t="shared" si="124"/>
        <v>5314.3441988186933</v>
      </c>
      <c r="V599" s="33" t="s">
        <v>569</v>
      </c>
    </row>
    <row r="600" spans="1:22" s="23" customFormat="1" ht="42.75" customHeight="1" x14ac:dyDescent="0.25">
      <c r="A600" s="25">
        <v>135</v>
      </c>
      <c r="B600" s="36" t="s">
        <v>262</v>
      </c>
      <c r="C600" s="25" t="s">
        <v>43</v>
      </c>
      <c r="D600" s="25">
        <v>1990</v>
      </c>
      <c r="E600" s="27" t="s">
        <v>39</v>
      </c>
      <c r="F600" s="25" t="s">
        <v>77</v>
      </c>
      <c r="G600" s="28">
        <v>5</v>
      </c>
      <c r="H600" s="28">
        <v>4</v>
      </c>
      <c r="I600" s="32">
        <v>3052.25</v>
      </c>
      <c r="J600" s="32">
        <v>2945.5</v>
      </c>
      <c r="K600" s="32">
        <v>2945.45</v>
      </c>
      <c r="L600" s="35">
        <v>89</v>
      </c>
      <c r="M600" s="31">
        <f t="shared" si="121"/>
        <v>16048707.51</v>
      </c>
      <c r="N600" s="29">
        <v>0</v>
      </c>
      <c r="O600" s="29">
        <v>0</v>
      </c>
      <c r="P600" s="29">
        <v>0</v>
      </c>
      <c r="Q600" s="32">
        <f>'Таблица 3 '!C590</f>
        <v>16048707.51</v>
      </c>
      <c r="R600" s="29">
        <f t="shared" si="122"/>
        <v>16048707.51</v>
      </c>
      <c r="S600" s="29">
        <v>0</v>
      </c>
      <c r="T600" s="29">
        <f t="shared" si="123"/>
        <v>5448.5511831607537</v>
      </c>
      <c r="U600" s="29">
        <f t="shared" si="124"/>
        <v>5448.5511831607537</v>
      </c>
      <c r="V600" s="33" t="s">
        <v>569</v>
      </c>
    </row>
    <row r="601" spans="1:22" s="44" customFormat="1" ht="42.75" customHeight="1" x14ac:dyDescent="0.25">
      <c r="A601" s="25">
        <v>136</v>
      </c>
      <c r="B601" s="26" t="s">
        <v>267</v>
      </c>
      <c r="C601" s="25" t="s">
        <v>43</v>
      </c>
      <c r="D601" s="25">
        <v>1945</v>
      </c>
      <c r="E601" s="27" t="s">
        <v>50</v>
      </c>
      <c r="F601" s="25" t="s">
        <v>44</v>
      </c>
      <c r="G601" s="28">
        <v>4</v>
      </c>
      <c r="H601" s="28">
        <v>3</v>
      </c>
      <c r="I601" s="29">
        <v>3103.1</v>
      </c>
      <c r="J601" s="29">
        <v>2707.9</v>
      </c>
      <c r="K601" s="29">
        <v>2075.5</v>
      </c>
      <c r="L601" s="30">
        <v>62</v>
      </c>
      <c r="M601" s="31">
        <f t="shared" si="121"/>
        <v>19654123.420000002</v>
      </c>
      <c r="N601" s="29">
        <v>0</v>
      </c>
      <c r="O601" s="29">
        <v>0</v>
      </c>
      <c r="P601" s="29">
        <v>0</v>
      </c>
      <c r="Q601" s="32">
        <f>'Таблица 3 '!C591</f>
        <v>19654123.420000002</v>
      </c>
      <c r="R601" s="29">
        <f t="shared" si="122"/>
        <v>19654123.420000002</v>
      </c>
      <c r="S601" s="29">
        <v>0</v>
      </c>
      <c r="T601" s="29">
        <f t="shared" si="123"/>
        <v>7258.0683998670556</v>
      </c>
      <c r="U601" s="29">
        <f t="shared" si="124"/>
        <v>7258.0683998670556</v>
      </c>
      <c r="V601" s="33" t="s">
        <v>569</v>
      </c>
    </row>
    <row r="602" spans="1:22" s="44" customFormat="1" ht="42.75" customHeight="1" x14ac:dyDescent="0.25">
      <c r="A602" s="25">
        <v>137</v>
      </c>
      <c r="B602" s="26" t="s">
        <v>271</v>
      </c>
      <c r="C602" s="25" t="s">
        <v>43</v>
      </c>
      <c r="D602" s="25">
        <v>1978</v>
      </c>
      <c r="E602" s="27" t="s">
        <v>39</v>
      </c>
      <c r="F602" s="25" t="s">
        <v>48</v>
      </c>
      <c r="G602" s="28">
        <v>5</v>
      </c>
      <c r="H602" s="28">
        <v>4</v>
      </c>
      <c r="I602" s="29">
        <v>4063.1</v>
      </c>
      <c r="J602" s="29">
        <v>3909</v>
      </c>
      <c r="K602" s="29">
        <v>3504.5</v>
      </c>
      <c r="L602" s="30">
        <v>181</v>
      </c>
      <c r="M602" s="31">
        <f t="shared" si="121"/>
        <v>6512253.1500000004</v>
      </c>
      <c r="N602" s="29">
        <v>0</v>
      </c>
      <c r="O602" s="29">
        <v>0</v>
      </c>
      <c r="P602" s="29">
        <v>0</v>
      </c>
      <c r="Q602" s="32">
        <f>'Таблица 3 '!C592</f>
        <v>6512253.1500000004</v>
      </c>
      <c r="R602" s="29">
        <f t="shared" si="122"/>
        <v>6512253.1500000004</v>
      </c>
      <c r="S602" s="29">
        <v>0</v>
      </c>
      <c r="T602" s="29">
        <f t="shared" si="123"/>
        <v>1665.9639677666923</v>
      </c>
      <c r="U602" s="29">
        <f t="shared" si="124"/>
        <v>1665.9639677666923</v>
      </c>
      <c r="V602" s="33" t="s">
        <v>569</v>
      </c>
    </row>
    <row r="603" spans="1:22" s="44" customFormat="1" ht="42.75" customHeight="1" x14ac:dyDescent="0.25">
      <c r="A603" s="25">
        <v>138</v>
      </c>
      <c r="B603" s="26" t="s">
        <v>629</v>
      </c>
      <c r="C603" s="25" t="s">
        <v>43</v>
      </c>
      <c r="D603" s="25">
        <v>1987</v>
      </c>
      <c r="E603" s="27" t="s">
        <v>39</v>
      </c>
      <c r="F603" s="25" t="s">
        <v>48</v>
      </c>
      <c r="G603" s="28">
        <v>5</v>
      </c>
      <c r="H603" s="28">
        <v>6</v>
      </c>
      <c r="I603" s="29">
        <v>5449.2</v>
      </c>
      <c r="J603" s="29">
        <v>5449.2</v>
      </c>
      <c r="K603" s="29">
        <v>5243.8</v>
      </c>
      <c r="L603" s="30">
        <v>220</v>
      </c>
      <c r="M603" s="31">
        <f t="shared" si="121"/>
        <v>38192079.560000002</v>
      </c>
      <c r="N603" s="29">
        <v>0</v>
      </c>
      <c r="O603" s="29">
        <v>0</v>
      </c>
      <c r="P603" s="29">
        <v>0</v>
      </c>
      <c r="Q603" s="32">
        <f>'Таблица 3 '!C593</f>
        <v>38192079.560000002</v>
      </c>
      <c r="R603" s="29">
        <f t="shared" si="122"/>
        <v>38192079.560000002</v>
      </c>
      <c r="S603" s="29">
        <v>0</v>
      </c>
      <c r="T603" s="29">
        <f t="shared" si="123"/>
        <v>7008.7498274976151</v>
      </c>
      <c r="U603" s="29">
        <f t="shared" si="124"/>
        <v>7008.7498274976151</v>
      </c>
      <c r="V603" s="33" t="s">
        <v>569</v>
      </c>
    </row>
    <row r="604" spans="1:22" s="44" customFormat="1" ht="42.75" customHeight="1" x14ac:dyDescent="0.25">
      <c r="A604" s="25">
        <v>139</v>
      </c>
      <c r="B604" s="26" t="s">
        <v>630</v>
      </c>
      <c r="C604" s="25" t="s">
        <v>43</v>
      </c>
      <c r="D604" s="25">
        <v>1987</v>
      </c>
      <c r="E604" s="27" t="s">
        <v>39</v>
      </c>
      <c r="F604" s="25" t="s">
        <v>48</v>
      </c>
      <c r="G604" s="28">
        <v>5</v>
      </c>
      <c r="H604" s="28">
        <v>6</v>
      </c>
      <c r="I604" s="29">
        <v>5449.2</v>
      </c>
      <c r="J604" s="29">
        <v>5449.2</v>
      </c>
      <c r="K604" s="29">
        <v>5243.8</v>
      </c>
      <c r="L604" s="30">
        <v>220</v>
      </c>
      <c r="M604" s="31">
        <f t="shared" si="121"/>
        <v>36611545.720000006</v>
      </c>
      <c r="N604" s="29">
        <v>0</v>
      </c>
      <c r="O604" s="29">
        <v>0</v>
      </c>
      <c r="P604" s="29">
        <v>0</v>
      </c>
      <c r="Q604" s="32">
        <f>'Таблица 3 '!C594</f>
        <v>36611545.720000006</v>
      </c>
      <c r="R604" s="29">
        <f t="shared" si="122"/>
        <v>36611545.720000006</v>
      </c>
      <c r="S604" s="29">
        <v>0</v>
      </c>
      <c r="T604" s="29">
        <f t="shared" si="123"/>
        <v>6718.7010423548427</v>
      </c>
      <c r="U604" s="29">
        <f t="shared" si="124"/>
        <v>6718.7010423548427</v>
      </c>
      <c r="V604" s="33" t="s">
        <v>569</v>
      </c>
    </row>
    <row r="605" spans="1:22" s="44" customFormat="1" ht="42.75" customHeight="1" x14ac:dyDescent="0.25">
      <c r="A605" s="25">
        <v>140</v>
      </c>
      <c r="B605" s="26" t="s">
        <v>274</v>
      </c>
      <c r="C605" s="25" t="s">
        <v>43</v>
      </c>
      <c r="D605" s="25">
        <v>1963</v>
      </c>
      <c r="E605" s="27" t="s">
        <v>39</v>
      </c>
      <c r="F605" s="25" t="s">
        <v>44</v>
      </c>
      <c r="G605" s="28">
        <v>4</v>
      </c>
      <c r="H605" s="28">
        <v>4</v>
      </c>
      <c r="I605" s="29">
        <v>1796</v>
      </c>
      <c r="J605" s="29">
        <v>1759.6</v>
      </c>
      <c r="K605" s="29">
        <v>1729.8</v>
      </c>
      <c r="L605" s="30">
        <v>60</v>
      </c>
      <c r="M605" s="31">
        <f t="shared" si="121"/>
        <v>11028620.4</v>
      </c>
      <c r="N605" s="29">
        <v>0</v>
      </c>
      <c r="O605" s="29">
        <v>0</v>
      </c>
      <c r="P605" s="29">
        <v>0</v>
      </c>
      <c r="Q605" s="32">
        <f>'Таблица 3 '!C595</f>
        <v>11028620.4</v>
      </c>
      <c r="R605" s="29">
        <f t="shared" si="122"/>
        <v>11028620.4</v>
      </c>
      <c r="S605" s="29">
        <v>0</v>
      </c>
      <c r="T605" s="29">
        <f t="shared" si="123"/>
        <v>6267.6860650147764</v>
      </c>
      <c r="U605" s="29">
        <f t="shared" si="124"/>
        <v>6267.6860650147764</v>
      </c>
      <c r="V605" s="33" t="s">
        <v>569</v>
      </c>
    </row>
    <row r="606" spans="1:22" s="44" customFormat="1" ht="42.75" customHeight="1" x14ac:dyDescent="0.25">
      <c r="A606" s="25">
        <v>141</v>
      </c>
      <c r="B606" s="26" t="s">
        <v>275</v>
      </c>
      <c r="C606" s="25" t="s">
        <v>43</v>
      </c>
      <c r="D606" s="25">
        <v>1957</v>
      </c>
      <c r="E606" s="27" t="s">
        <v>39</v>
      </c>
      <c r="F606" s="25" t="s">
        <v>44</v>
      </c>
      <c r="G606" s="28">
        <v>2</v>
      </c>
      <c r="H606" s="28">
        <v>2</v>
      </c>
      <c r="I606" s="29">
        <v>625.20000000000005</v>
      </c>
      <c r="J606" s="29">
        <v>581.5</v>
      </c>
      <c r="K606" s="29">
        <v>391.2</v>
      </c>
      <c r="L606" s="30">
        <v>31</v>
      </c>
      <c r="M606" s="31">
        <f t="shared" si="121"/>
        <v>5352624.2300000004</v>
      </c>
      <c r="N606" s="29">
        <v>0</v>
      </c>
      <c r="O606" s="29">
        <v>0</v>
      </c>
      <c r="P606" s="29">
        <v>0</v>
      </c>
      <c r="Q606" s="32">
        <f>'Таблица 3 '!C596</f>
        <v>5352624.2300000004</v>
      </c>
      <c r="R606" s="29">
        <f t="shared" si="122"/>
        <v>5352624.2300000004</v>
      </c>
      <c r="S606" s="29">
        <v>0</v>
      </c>
      <c r="T606" s="29">
        <f t="shared" si="123"/>
        <v>9204.856801375754</v>
      </c>
      <c r="U606" s="29">
        <f t="shared" si="124"/>
        <v>9204.856801375754</v>
      </c>
      <c r="V606" s="33" t="s">
        <v>569</v>
      </c>
    </row>
    <row r="607" spans="1:22" s="44" customFormat="1" ht="42.75" customHeight="1" x14ac:dyDescent="0.25">
      <c r="A607" s="25">
        <v>142</v>
      </c>
      <c r="B607" s="26" t="s">
        <v>276</v>
      </c>
      <c r="C607" s="25" t="s">
        <v>43</v>
      </c>
      <c r="D607" s="25">
        <v>1960</v>
      </c>
      <c r="E607" s="27" t="s">
        <v>39</v>
      </c>
      <c r="F607" s="25" t="s">
        <v>44</v>
      </c>
      <c r="G607" s="28">
        <v>2</v>
      </c>
      <c r="H607" s="28">
        <v>1</v>
      </c>
      <c r="I607" s="29">
        <v>291.83999999999997</v>
      </c>
      <c r="J607" s="29">
        <v>268.60000000000002</v>
      </c>
      <c r="K607" s="29">
        <v>268.8</v>
      </c>
      <c r="L607" s="30">
        <v>13</v>
      </c>
      <c r="M607" s="31">
        <f t="shared" si="121"/>
        <v>1007730.5399999999</v>
      </c>
      <c r="N607" s="29">
        <v>0</v>
      </c>
      <c r="O607" s="29">
        <v>0</v>
      </c>
      <c r="P607" s="29">
        <v>0</v>
      </c>
      <c r="Q607" s="32">
        <f>'Таблица 3 '!C597</f>
        <v>1007730.5399999999</v>
      </c>
      <c r="R607" s="29">
        <f t="shared" si="122"/>
        <v>1007730.5399999999</v>
      </c>
      <c r="S607" s="29">
        <v>0</v>
      </c>
      <c r="T607" s="29">
        <f t="shared" si="123"/>
        <v>3751.7890543559188</v>
      </c>
      <c r="U607" s="29">
        <f t="shared" si="124"/>
        <v>3751.7890543559188</v>
      </c>
      <c r="V607" s="33" t="s">
        <v>569</v>
      </c>
    </row>
    <row r="608" spans="1:22" s="44" customFormat="1" ht="42.75" customHeight="1" x14ac:dyDescent="0.25">
      <c r="A608" s="25">
        <v>143</v>
      </c>
      <c r="B608" s="26" t="s">
        <v>277</v>
      </c>
      <c r="C608" s="25" t="s">
        <v>43</v>
      </c>
      <c r="D608" s="25">
        <v>1973</v>
      </c>
      <c r="E608" s="27" t="s">
        <v>57</v>
      </c>
      <c r="F608" s="25" t="s">
        <v>48</v>
      </c>
      <c r="G608" s="28">
        <v>5</v>
      </c>
      <c r="H608" s="28">
        <v>5</v>
      </c>
      <c r="I608" s="29">
        <v>4485.3999999999996</v>
      </c>
      <c r="J608" s="29">
        <v>4448.7</v>
      </c>
      <c r="K608" s="29">
        <v>4253.6000000000004</v>
      </c>
      <c r="L608" s="30">
        <v>199</v>
      </c>
      <c r="M608" s="31">
        <f t="shared" si="121"/>
        <v>8053367.71</v>
      </c>
      <c r="N608" s="29">
        <v>0</v>
      </c>
      <c r="O608" s="29">
        <v>0</v>
      </c>
      <c r="P608" s="29">
        <v>0</v>
      </c>
      <c r="Q608" s="32">
        <f>'Таблица 3 '!C598</f>
        <v>8053367.71</v>
      </c>
      <c r="R608" s="29">
        <f t="shared" si="122"/>
        <v>8053367.71</v>
      </c>
      <c r="S608" s="29">
        <v>0</v>
      </c>
      <c r="T608" s="29">
        <f t="shared" si="123"/>
        <v>1810.2743970148583</v>
      </c>
      <c r="U608" s="29">
        <f t="shared" si="124"/>
        <v>1810.2743970148583</v>
      </c>
      <c r="V608" s="33" t="s">
        <v>569</v>
      </c>
    </row>
    <row r="609" spans="1:24" s="44" customFormat="1" ht="42.75" customHeight="1" x14ac:dyDescent="0.25">
      <c r="A609" s="25">
        <v>144</v>
      </c>
      <c r="B609" s="34" t="s">
        <v>631</v>
      </c>
      <c r="C609" s="25" t="s">
        <v>85</v>
      </c>
      <c r="D609" s="25">
        <v>1996</v>
      </c>
      <c r="E609" s="25" t="s">
        <v>39</v>
      </c>
      <c r="F609" s="25" t="s">
        <v>77</v>
      </c>
      <c r="G609" s="28">
        <v>9</v>
      </c>
      <c r="H609" s="28">
        <v>4</v>
      </c>
      <c r="I609" s="32">
        <v>10131.4</v>
      </c>
      <c r="J609" s="32">
        <v>10083.6</v>
      </c>
      <c r="K609" s="32">
        <v>10083.6</v>
      </c>
      <c r="L609" s="35">
        <v>225</v>
      </c>
      <c r="M609" s="31">
        <f t="shared" si="121"/>
        <v>16715728.210000001</v>
      </c>
      <c r="N609" s="29">
        <v>0</v>
      </c>
      <c r="O609" s="29">
        <v>0</v>
      </c>
      <c r="P609" s="29">
        <v>0</v>
      </c>
      <c r="Q609" s="32">
        <f>'Таблица 3 '!C599</f>
        <v>16715728.210000001</v>
      </c>
      <c r="R609" s="29">
        <f t="shared" si="122"/>
        <v>16715728.210000001</v>
      </c>
      <c r="S609" s="32">
        <v>0</v>
      </c>
      <c r="T609" s="29">
        <f t="shared" si="123"/>
        <v>1657.7143292078226</v>
      </c>
      <c r="U609" s="29">
        <f t="shared" si="124"/>
        <v>1657.7143292078226</v>
      </c>
      <c r="V609" s="73" t="s">
        <v>569</v>
      </c>
      <c r="W609" s="109"/>
      <c r="X609" s="40"/>
    </row>
    <row r="610" spans="1:24" s="44" customFormat="1" ht="42.75" customHeight="1" x14ac:dyDescent="0.25">
      <c r="A610" s="25">
        <v>145</v>
      </c>
      <c r="B610" s="34" t="s">
        <v>632</v>
      </c>
      <c r="C610" s="25" t="s">
        <v>85</v>
      </c>
      <c r="D610" s="25">
        <v>1998</v>
      </c>
      <c r="E610" s="25" t="s">
        <v>39</v>
      </c>
      <c r="F610" s="25" t="s">
        <v>77</v>
      </c>
      <c r="G610" s="28">
        <v>9</v>
      </c>
      <c r="H610" s="28">
        <v>1</v>
      </c>
      <c r="I610" s="32">
        <v>4862.5600000000004</v>
      </c>
      <c r="J610" s="32">
        <v>4376.3</v>
      </c>
      <c r="K610" s="32">
        <v>4376.3</v>
      </c>
      <c r="L610" s="35">
        <v>135</v>
      </c>
      <c r="M610" s="31">
        <f t="shared" si="121"/>
        <v>5964866.0700000003</v>
      </c>
      <c r="N610" s="29">
        <v>0</v>
      </c>
      <c r="O610" s="29">
        <v>0</v>
      </c>
      <c r="P610" s="29">
        <v>0</v>
      </c>
      <c r="Q610" s="32">
        <f>'Таблица 3 '!C600</f>
        <v>5964866.0700000003</v>
      </c>
      <c r="R610" s="29">
        <f t="shared" si="122"/>
        <v>5964866.0700000003</v>
      </c>
      <c r="S610" s="32">
        <v>0</v>
      </c>
      <c r="T610" s="29">
        <f t="shared" si="123"/>
        <v>1362.9929552361584</v>
      </c>
      <c r="U610" s="29">
        <f t="shared" si="124"/>
        <v>1362.9929552361584</v>
      </c>
      <c r="V610" s="73" t="s">
        <v>569</v>
      </c>
      <c r="W610" s="109"/>
      <c r="X610" s="40"/>
    </row>
    <row r="611" spans="1:24" s="44" customFormat="1" ht="42.75" customHeight="1" x14ac:dyDescent="0.25">
      <c r="A611" s="25">
        <v>146</v>
      </c>
      <c r="B611" s="26" t="s">
        <v>279</v>
      </c>
      <c r="C611" s="25" t="s">
        <v>43</v>
      </c>
      <c r="D611" s="25">
        <v>1999</v>
      </c>
      <c r="E611" s="27" t="s">
        <v>39</v>
      </c>
      <c r="F611" s="25" t="s">
        <v>44</v>
      </c>
      <c r="G611" s="28">
        <v>10</v>
      </c>
      <c r="H611" s="28">
        <v>10</v>
      </c>
      <c r="I611" s="29">
        <v>24768.5</v>
      </c>
      <c r="J611" s="29">
        <v>24763.1</v>
      </c>
      <c r="K611" s="29">
        <v>23772.2</v>
      </c>
      <c r="L611" s="30">
        <v>346</v>
      </c>
      <c r="M611" s="31">
        <f t="shared" si="121"/>
        <v>142389394.52000001</v>
      </c>
      <c r="N611" s="29">
        <v>0</v>
      </c>
      <c r="O611" s="29">
        <v>0</v>
      </c>
      <c r="P611" s="29">
        <v>0</v>
      </c>
      <c r="Q611" s="32">
        <f>'Таблица 3 '!C601</f>
        <v>142389394.52000001</v>
      </c>
      <c r="R611" s="29">
        <f t="shared" si="122"/>
        <v>142389394.52000001</v>
      </c>
      <c r="S611" s="29">
        <v>0</v>
      </c>
      <c r="T611" s="29">
        <f t="shared" si="123"/>
        <v>5750.0633814021676</v>
      </c>
      <c r="U611" s="29">
        <f t="shared" si="124"/>
        <v>5750.0633814021676</v>
      </c>
      <c r="V611" s="33" t="s">
        <v>569</v>
      </c>
    </row>
    <row r="612" spans="1:24" s="44" customFormat="1" ht="42.75" customHeight="1" x14ac:dyDescent="0.25">
      <c r="A612" s="25">
        <v>147</v>
      </c>
      <c r="B612" s="26" t="s">
        <v>280</v>
      </c>
      <c r="C612" s="25" t="s">
        <v>43</v>
      </c>
      <c r="D612" s="25">
        <v>1988</v>
      </c>
      <c r="E612" s="27" t="s">
        <v>60</v>
      </c>
      <c r="F612" s="25" t="s">
        <v>44</v>
      </c>
      <c r="G612" s="28">
        <v>5</v>
      </c>
      <c r="H612" s="28">
        <v>1</v>
      </c>
      <c r="I612" s="29">
        <v>3584.8</v>
      </c>
      <c r="J612" s="29">
        <v>2034.8</v>
      </c>
      <c r="K612" s="29">
        <v>2065.1</v>
      </c>
      <c r="L612" s="30">
        <v>72</v>
      </c>
      <c r="M612" s="31">
        <f t="shared" si="121"/>
        <v>3649798.7</v>
      </c>
      <c r="N612" s="29">
        <v>0</v>
      </c>
      <c r="O612" s="29">
        <v>0</v>
      </c>
      <c r="P612" s="29">
        <v>0</v>
      </c>
      <c r="Q612" s="32">
        <f>'Таблица 3 '!C602</f>
        <v>3649798.7</v>
      </c>
      <c r="R612" s="29">
        <f t="shared" si="122"/>
        <v>3649798.7</v>
      </c>
      <c r="S612" s="29">
        <v>0</v>
      </c>
      <c r="T612" s="29">
        <f t="shared" si="123"/>
        <v>1793.6891586396698</v>
      </c>
      <c r="U612" s="29">
        <f t="shared" si="124"/>
        <v>1793.6891586396698</v>
      </c>
      <c r="V612" s="33" t="s">
        <v>569</v>
      </c>
    </row>
    <row r="613" spans="1:24" s="44" customFormat="1" ht="42.75" customHeight="1" x14ac:dyDescent="0.25">
      <c r="A613" s="25">
        <v>148</v>
      </c>
      <c r="B613" s="26" t="s">
        <v>633</v>
      </c>
      <c r="C613" s="25" t="s">
        <v>43</v>
      </c>
      <c r="D613" s="25">
        <v>1988</v>
      </c>
      <c r="E613" s="27" t="s">
        <v>39</v>
      </c>
      <c r="F613" s="25" t="s">
        <v>44</v>
      </c>
      <c r="G613" s="28">
        <v>5</v>
      </c>
      <c r="H613" s="28">
        <v>4</v>
      </c>
      <c r="I613" s="29">
        <v>2950.8</v>
      </c>
      <c r="J613" s="29">
        <v>2950.8</v>
      </c>
      <c r="K613" s="29">
        <v>2864.6</v>
      </c>
      <c r="L613" s="30">
        <v>94</v>
      </c>
      <c r="M613" s="31">
        <f t="shared" si="121"/>
        <v>16382330.870000001</v>
      </c>
      <c r="N613" s="29">
        <v>0</v>
      </c>
      <c r="O613" s="29">
        <v>0</v>
      </c>
      <c r="P613" s="29">
        <v>0</v>
      </c>
      <c r="Q613" s="32">
        <f>'Таблица 3 '!C603</f>
        <v>16382330.870000001</v>
      </c>
      <c r="R613" s="29">
        <f t="shared" si="122"/>
        <v>16382330.870000001</v>
      </c>
      <c r="S613" s="29">
        <v>0</v>
      </c>
      <c r="T613" s="29">
        <f t="shared" si="123"/>
        <v>5551.8269181238984</v>
      </c>
      <c r="U613" s="29">
        <f t="shared" si="124"/>
        <v>5551.8269181238984</v>
      </c>
      <c r="V613" s="33" t="s">
        <v>569</v>
      </c>
    </row>
    <row r="614" spans="1:24" s="44" customFormat="1" ht="42.75" customHeight="1" x14ac:dyDescent="0.25">
      <c r="A614" s="25">
        <v>149</v>
      </c>
      <c r="B614" s="26" t="s">
        <v>281</v>
      </c>
      <c r="C614" s="25" t="s">
        <v>43</v>
      </c>
      <c r="D614" s="25">
        <v>1973</v>
      </c>
      <c r="E614" s="27" t="s">
        <v>39</v>
      </c>
      <c r="F614" s="25" t="s">
        <v>48</v>
      </c>
      <c r="G614" s="28">
        <v>5</v>
      </c>
      <c r="H614" s="28">
        <v>5</v>
      </c>
      <c r="I614" s="29">
        <v>6004.7</v>
      </c>
      <c r="J614" s="29">
        <v>5100.76</v>
      </c>
      <c r="K614" s="29">
        <v>4498</v>
      </c>
      <c r="L614" s="30">
        <v>181</v>
      </c>
      <c r="M614" s="31">
        <f t="shared" si="121"/>
        <v>8911648.7200000007</v>
      </c>
      <c r="N614" s="29">
        <v>0</v>
      </c>
      <c r="O614" s="29">
        <v>0</v>
      </c>
      <c r="P614" s="29">
        <v>0</v>
      </c>
      <c r="Q614" s="32">
        <f>'Таблица 3 '!C604</f>
        <v>8911648.7200000007</v>
      </c>
      <c r="R614" s="29">
        <f t="shared" si="122"/>
        <v>8911648.7200000007</v>
      </c>
      <c r="S614" s="29">
        <v>0</v>
      </c>
      <c r="T614" s="29">
        <f t="shared" si="123"/>
        <v>1747.1217465632574</v>
      </c>
      <c r="U614" s="29">
        <f t="shared" si="124"/>
        <v>1747.1217465632574</v>
      </c>
      <c r="V614" s="33" t="s">
        <v>569</v>
      </c>
    </row>
    <row r="615" spans="1:24" s="44" customFormat="1" ht="42.75" customHeight="1" x14ac:dyDescent="0.25">
      <c r="A615" s="25">
        <v>150</v>
      </c>
      <c r="B615" s="26" t="s">
        <v>634</v>
      </c>
      <c r="C615" s="25" t="s">
        <v>43</v>
      </c>
      <c r="D615" s="25">
        <v>1987</v>
      </c>
      <c r="E615" s="27" t="s">
        <v>39</v>
      </c>
      <c r="F615" s="25" t="s">
        <v>44</v>
      </c>
      <c r="G615" s="28">
        <v>5</v>
      </c>
      <c r="H615" s="28">
        <v>6</v>
      </c>
      <c r="I615" s="29">
        <v>4113.3</v>
      </c>
      <c r="J615" s="29">
        <v>4113.3</v>
      </c>
      <c r="K615" s="29">
        <v>3757.5</v>
      </c>
      <c r="L615" s="30">
        <v>138</v>
      </c>
      <c r="M615" s="31">
        <f t="shared" si="121"/>
        <v>6284318.4000000004</v>
      </c>
      <c r="N615" s="29">
        <v>0</v>
      </c>
      <c r="O615" s="29">
        <v>0</v>
      </c>
      <c r="P615" s="29">
        <v>0</v>
      </c>
      <c r="Q615" s="32">
        <f>'Таблица 3 '!C605</f>
        <v>6284318.4000000004</v>
      </c>
      <c r="R615" s="29">
        <f t="shared" si="122"/>
        <v>6284318.4000000004</v>
      </c>
      <c r="S615" s="29">
        <v>0</v>
      </c>
      <c r="T615" s="29">
        <f t="shared" si="123"/>
        <v>1527.8045365035373</v>
      </c>
      <c r="U615" s="29">
        <f t="shared" si="124"/>
        <v>1527.8045365035373</v>
      </c>
      <c r="V615" s="33" t="s">
        <v>569</v>
      </c>
    </row>
    <row r="616" spans="1:24" s="44" customFormat="1" ht="42.75" customHeight="1" x14ac:dyDescent="0.25">
      <c r="A616" s="25">
        <v>151</v>
      </c>
      <c r="B616" s="26" t="s">
        <v>282</v>
      </c>
      <c r="C616" s="25" t="s">
        <v>43</v>
      </c>
      <c r="D616" s="25">
        <v>1965</v>
      </c>
      <c r="E616" s="27" t="s">
        <v>39</v>
      </c>
      <c r="F616" s="25" t="s">
        <v>44</v>
      </c>
      <c r="G616" s="28">
        <v>5</v>
      </c>
      <c r="H616" s="28">
        <v>3</v>
      </c>
      <c r="I616" s="29">
        <v>2515.1999999999998</v>
      </c>
      <c r="J616" s="29">
        <v>2498.1</v>
      </c>
      <c r="K616" s="29">
        <v>2269.1</v>
      </c>
      <c r="L616" s="30">
        <v>95</v>
      </c>
      <c r="M616" s="31">
        <f t="shared" si="121"/>
        <v>350382</v>
      </c>
      <c r="N616" s="29">
        <v>0</v>
      </c>
      <c r="O616" s="29">
        <v>0</v>
      </c>
      <c r="P616" s="29">
        <v>0</v>
      </c>
      <c r="Q616" s="32">
        <f>'Таблица 3 '!C606</f>
        <v>350382</v>
      </c>
      <c r="R616" s="29">
        <f t="shared" si="122"/>
        <v>350382</v>
      </c>
      <c r="S616" s="29">
        <v>0</v>
      </c>
      <c r="T616" s="29">
        <f t="shared" si="123"/>
        <v>140.2593971418278</v>
      </c>
      <c r="U616" s="29">
        <f t="shared" si="124"/>
        <v>140.2593971418278</v>
      </c>
      <c r="V616" s="33" t="s">
        <v>569</v>
      </c>
    </row>
    <row r="617" spans="1:24" s="44" customFormat="1" ht="42.75" customHeight="1" x14ac:dyDescent="0.25">
      <c r="A617" s="25">
        <v>152</v>
      </c>
      <c r="B617" s="26" t="s">
        <v>284</v>
      </c>
      <c r="C617" s="25" t="s">
        <v>43</v>
      </c>
      <c r="D617" s="25">
        <v>1990</v>
      </c>
      <c r="E617" s="27" t="s">
        <v>39</v>
      </c>
      <c r="F617" s="25" t="s">
        <v>44</v>
      </c>
      <c r="G617" s="28">
        <v>5</v>
      </c>
      <c r="H617" s="28">
        <v>1</v>
      </c>
      <c r="I617" s="29">
        <v>5603.4</v>
      </c>
      <c r="J617" s="29">
        <v>3662.7</v>
      </c>
      <c r="K617" s="29">
        <v>2385.6999999999998</v>
      </c>
      <c r="L617" s="30">
        <v>240</v>
      </c>
      <c r="M617" s="31">
        <f t="shared" si="121"/>
        <v>19470694.279999997</v>
      </c>
      <c r="N617" s="29">
        <v>0</v>
      </c>
      <c r="O617" s="29">
        <v>0</v>
      </c>
      <c r="P617" s="29">
        <v>0</v>
      </c>
      <c r="Q617" s="32">
        <f>'Таблица 3 '!C607</f>
        <v>19470694.279999997</v>
      </c>
      <c r="R617" s="29">
        <f t="shared" si="122"/>
        <v>19470694.279999997</v>
      </c>
      <c r="S617" s="29">
        <v>0</v>
      </c>
      <c r="T617" s="29">
        <f t="shared" si="123"/>
        <v>5315.9402298850573</v>
      </c>
      <c r="U617" s="29">
        <f t="shared" si="124"/>
        <v>5315.9402298850573</v>
      </c>
      <c r="V617" s="33" t="s">
        <v>569</v>
      </c>
    </row>
    <row r="618" spans="1:24" s="44" customFormat="1" ht="42.75" customHeight="1" x14ac:dyDescent="0.25">
      <c r="A618" s="25">
        <v>153</v>
      </c>
      <c r="B618" s="26" t="s">
        <v>285</v>
      </c>
      <c r="C618" s="25" t="s">
        <v>43</v>
      </c>
      <c r="D618" s="25">
        <v>1993</v>
      </c>
      <c r="E618" s="27" t="s">
        <v>50</v>
      </c>
      <c r="F618" s="25" t="s">
        <v>48</v>
      </c>
      <c r="G618" s="28">
        <v>9</v>
      </c>
      <c r="H618" s="28">
        <v>1</v>
      </c>
      <c r="I618" s="29">
        <v>3810.71</v>
      </c>
      <c r="J618" s="29">
        <v>3608.9</v>
      </c>
      <c r="K618" s="29">
        <v>3441.6</v>
      </c>
      <c r="L618" s="30">
        <v>165</v>
      </c>
      <c r="M618" s="31">
        <f t="shared" si="121"/>
        <v>23984959.150000002</v>
      </c>
      <c r="N618" s="29">
        <v>0</v>
      </c>
      <c r="O618" s="29">
        <v>0</v>
      </c>
      <c r="P618" s="29">
        <v>0</v>
      </c>
      <c r="Q618" s="32">
        <f>'Таблица 3 '!C608</f>
        <v>23984959.150000002</v>
      </c>
      <c r="R618" s="29">
        <f t="shared" si="122"/>
        <v>23984959.150000002</v>
      </c>
      <c r="S618" s="29">
        <v>0</v>
      </c>
      <c r="T618" s="29">
        <f t="shared" si="123"/>
        <v>6646.0581202028325</v>
      </c>
      <c r="U618" s="29">
        <f t="shared" si="124"/>
        <v>6646.0581202028325</v>
      </c>
      <c r="V618" s="33" t="s">
        <v>569</v>
      </c>
      <c r="W618" s="110"/>
    </row>
    <row r="619" spans="1:24" s="44" customFormat="1" ht="42.75" customHeight="1" x14ac:dyDescent="0.25">
      <c r="A619" s="25">
        <v>154</v>
      </c>
      <c r="B619" s="26" t="s">
        <v>286</v>
      </c>
      <c r="C619" s="25" t="s">
        <v>43</v>
      </c>
      <c r="D619" s="25">
        <v>1993</v>
      </c>
      <c r="E619" s="27" t="s">
        <v>39</v>
      </c>
      <c r="F619" s="25" t="s">
        <v>48</v>
      </c>
      <c r="G619" s="28">
        <v>9</v>
      </c>
      <c r="H619" s="28">
        <v>1</v>
      </c>
      <c r="I619" s="29">
        <v>2551.1</v>
      </c>
      <c r="J619" s="29">
        <v>2551.1</v>
      </c>
      <c r="K619" s="29">
        <v>2381.5</v>
      </c>
      <c r="L619" s="30">
        <v>111</v>
      </c>
      <c r="M619" s="31">
        <f t="shared" si="121"/>
        <v>19347777.290000003</v>
      </c>
      <c r="N619" s="29">
        <v>0</v>
      </c>
      <c r="O619" s="29">
        <v>0</v>
      </c>
      <c r="P619" s="29">
        <v>0</v>
      </c>
      <c r="Q619" s="32">
        <f>'Таблица 3 '!C609</f>
        <v>19347777.290000003</v>
      </c>
      <c r="R619" s="29">
        <f t="shared" si="122"/>
        <v>19347777.290000003</v>
      </c>
      <c r="S619" s="29">
        <v>0</v>
      </c>
      <c r="T619" s="29">
        <f t="shared" si="123"/>
        <v>7584.0920740072925</v>
      </c>
      <c r="U619" s="29">
        <f t="shared" si="124"/>
        <v>7584.0920740072925</v>
      </c>
      <c r="V619" s="33" t="s">
        <v>569</v>
      </c>
      <c r="W619" s="110"/>
    </row>
    <row r="620" spans="1:24" s="44" customFormat="1" ht="42.75" customHeight="1" x14ac:dyDescent="0.25">
      <c r="A620" s="25">
        <v>155</v>
      </c>
      <c r="B620" s="26" t="s">
        <v>635</v>
      </c>
      <c r="C620" s="25" t="s">
        <v>43</v>
      </c>
      <c r="D620" s="25">
        <v>1968</v>
      </c>
      <c r="E620" s="27" t="s">
        <v>39</v>
      </c>
      <c r="F620" s="25" t="s">
        <v>44</v>
      </c>
      <c r="G620" s="28">
        <v>2</v>
      </c>
      <c r="H620" s="28">
        <v>2</v>
      </c>
      <c r="I620" s="29">
        <v>391</v>
      </c>
      <c r="J620" s="29">
        <v>347.4</v>
      </c>
      <c r="K620" s="29">
        <v>0</v>
      </c>
      <c r="L620" s="30">
        <v>8</v>
      </c>
      <c r="M620" s="31">
        <f t="shared" si="121"/>
        <v>4739524.4699999988</v>
      </c>
      <c r="N620" s="29">
        <v>0</v>
      </c>
      <c r="O620" s="29">
        <v>0</v>
      </c>
      <c r="P620" s="29">
        <v>0</v>
      </c>
      <c r="Q620" s="32">
        <f>'Таблица 3 '!C610</f>
        <v>4739524.4699999988</v>
      </c>
      <c r="R620" s="29">
        <f t="shared" si="122"/>
        <v>4739524.4699999988</v>
      </c>
      <c r="S620" s="29">
        <v>0</v>
      </c>
      <c r="T620" s="29">
        <f t="shared" si="123"/>
        <v>13642.845336787563</v>
      </c>
      <c r="U620" s="29">
        <f t="shared" si="124"/>
        <v>13642.845336787563</v>
      </c>
      <c r="V620" s="33" t="s">
        <v>569</v>
      </c>
      <c r="W620" s="110"/>
    </row>
    <row r="621" spans="1:24" s="44" customFormat="1" ht="42.75" customHeight="1" x14ac:dyDescent="0.25">
      <c r="A621" s="25">
        <v>156</v>
      </c>
      <c r="B621" s="26" t="s">
        <v>636</v>
      </c>
      <c r="C621" s="25" t="s">
        <v>43</v>
      </c>
      <c r="D621" s="25">
        <v>1985</v>
      </c>
      <c r="E621" s="27" t="s">
        <v>39</v>
      </c>
      <c r="F621" s="25" t="s">
        <v>44</v>
      </c>
      <c r="G621" s="28">
        <v>2</v>
      </c>
      <c r="H621" s="28">
        <v>3</v>
      </c>
      <c r="I621" s="29">
        <v>1126.3</v>
      </c>
      <c r="J621" s="29">
        <v>1072.8</v>
      </c>
      <c r="K621" s="29">
        <v>0</v>
      </c>
      <c r="L621" s="30">
        <v>13</v>
      </c>
      <c r="M621" s="31">
        <f t="shared" si="121"/>
        <v>10661627.030000001</v>
      </c>
      <c r="N621" s="29">
        <v>0</v>
      </c>
      <c r="O621" s="29">
        <v>0</v>
      </c>
      <c r="P621" s="29">
        <v>0</v>
      </c>
      <c r="Q621" s="32">
        <f>'Таблица 3 '!C611</f>
        <v>10661627.030000001</v>
      </c>
      <c r="R621" s="29">
        <f t="shared" si="122"/>
        <v>10661627.030000001</v>
      </c>
      <c r="S621" s="29">
        <v>0</v>
      </c>
      <c r="T621" s="29">
        <f t="shared" si="123"/>
        <v>9938.1310868754681</v>
      </c>
      <c r="U621" s="29">
        <f t="shared" si="124"/>
        <v>9938.1310868754681</v>
      </c>
      <c r="V621" s="33" t="s">
        <v>569</v>
      </c>
      <c r="W621" s="110"/>
    </row>
    <row r="622" spans="1:24" s="44" customFormat="1" ht="42.75" customHeight="1" x14ac:dyDescent="0.25">
      <c r="A622" s="25">
        <v>157</v>
      </c>
      <c r="B622" s="26" t="s">
        <v>288</v>
      </c>
      <c r="C622" s="25" t="s">
        <v>43</v>
      </c>
      <c r="D622" s="25">
        <v>1976</v>
      </c>
      <c r="E622" s="27" t="s">
        <v>39</v>
      </c>
      <c r="F622" s="25" t="s">
        <v>44</v>
      </c>
      <c r="G622" s="28">
        <v>5</v>
      </c>
      <c r="H622" s="28">
        <v>4</v>
      </c>
      <c r="I622" s="29">
        <v>4484</v>
      </c>
      <c r="J622" s="29">
        <v>4401.8999999999996</v>
      </c>
      <c r="K622" s="29">
        <v>3843.8</v>
      </c>
      <c r="L622" s="30">
        <v>166</v>
      </c>
      <c r="M622" s="31">
        <f t="shared" si="121"/>
        <v>7619386.1600000001</v>
      </c>
      <c r="N622" s="29">
        <v>0</v>
      </c>
      <c r="O622" s="29">
        <v>0</v>
      </c>
      <c r="P622" s="29">
        <v>0</v>
      </c>
      <c r="Q622" s="32">
        <f>'Таблица 3 '!C612</f>
        <v>7619386.1600000001</v>
      </c>
      <c r="R622" s="29">
        <f t="shared" si="122"/>
        <v>7619386.1600000001</v>
      </c>
      <c r="S622" s="29">
        <v>0</v>
      </c>
      <c r="T622" s="29">
        <f t="shared" si="123"/>
        <v>1730.9312251527751</v>
      </c>
      <c r="U622" s="29">
        <f t="shared" si="124"/>
        <v>1730.9312251527751</v>
      </c>
      <c r="V622" s="33" t="s">
        <v>569</v>
      </c>
    </row>
    <row r="623" spans="1:24" s="44" customFormat="1" ht="42.75" customHeight="1" x14ac:dyDescent="0.25">
      <c r="A623" s="25">
        <v>158</v>
      </c>
      <c r="B623" s="36" t="s">
        <v>637</v>
      </c>
      <c r="C623" s="25" t="s">
        <v>43</v>
      </c>
      <c r="D623" s="25">
        <v>1960</v>
      </c>
      <c r="E623" s="27" t="s">
        <v>39</v>
      </c>
      <c r="F623" s="25" t="s">
        <v>44</v>
      </c>
      <c r="G623" s="28">
        <v>3</v>
      </c>
      <c r="H623" s="28">
        <v>2</v>
      </c>
      <c r="I623" s="29">
        <v>1774.2</v>
      </c>
      <c r="J623" s="29">
        <v>915.2</v>
      </c>
      <c r="K623" s="29">
        <v>821.1</v>
      </c>
      <c r="L623" s="30">
        <v>41</v>
      </c>
      <c r="M623" s="31">
        <f t="shared" si="121"/>
        <v>8689878.9399999995</v>
      </c>
      <c r="N623" s="29">
        <v>0</v>
      </c>
      <c r="O623" s="29">
        <v>0</v>
      </c>
      <c r="P623" s="29">
        <v>0</v>
      </c>
      <c r="Q623" s="32">
        <f>'Таблица 3 '!C613</f>
        <v>8689878.9399999995</v>
      </c>
      <c r="R623" s="29">
        <f t="shared" si="122"/>
        <v>8689878.9399999995</v>
      </c>
      <c r="S623" s="29">
        <v>0</v>
      </c>
      <c r="T623" s="29">
        <f t="shared" si="123"/>
        <v>9495.0600305944045</v>
      </c>
      <c r="U623" s="29">
        <f t="shared" si="124"/>
        <v>9495.0600305944045</v>
      </c>
      <c r="V623" s="33" t="s">
        <v>569</v>
      </c>
    </row>
    <row r="624" spans="1:24" s="44" customFormat="1" ht="42.75" customHeight="1" x14ac:dyDescent="0.25">
      <c r="A624" s="25">
        <v>159</v>
      </c>
      <c r="B624" s="36" t="s">
        <v>290</v>
      </c>
      <c r="C624" s="25" t="s">
        <v>43</v>
      </c>
      <c r="D624" s="25">
        <v>1960</v>
      </c>
      <c r="E624" s="27" t="s">
        <v>39</v>
      </c>
      <c r="F624" s="25" t="s">
        <v>44</v>
      </c>
      <c r="G624" s="28">
        <v>2</v>
      </c>
      <c r="H624" s="28">
        <v>2</v>
      </c>
      <c r="I624" s="29">
        <v>511</v>
      </c>
      <c r="J624" s="29">
        <v>264.64999999999998</v>
      </c>
      <c r="K624" s="29">
        <v>281.7</v>
      </c>
      <c r="L624" s="30">
        <v>12</v>
      </c>
      <c r="M624" s="31">
        <f t="shared" si="121"/>
        <v>1000722.5700000001</v>
      </c>
      <c r="N624" s="29">
        <v>0</v>
      </c>
      <c r="O624" s="29">
        <v>0</v>
      </c>
      <c r="P624" s="29">
        <v>0</v>
      </c>
      <c r="Q624" s="32">
        <f>'Таблица 3 '!C614</f>
        <v>1000722.5700000001</v>
      </c>
      <c r="R624" s="29">
        <f t="shared" si="122"/>
        <v>1000722.5700000001</v>
      </c>
      <c r="S624" s="29">
        <v>0</v>
      </c>
      <c r="T624" s="29">
        <f t="shared" si="123"/>
        <v>3781.3057623276031</v>
      </c>
      <c r="U624" s="29">
        <f t="shared" si="124"/>
        <v>3781.3057623276031</v>
      </c>
      <c r="V624" s="33" t="s">
        <v>569</v>
      </c>
    </row>
    <row r="625" spans="1:24" s="44" customFormat="1" ht="42.75" customHeight="1" x14ac:dyDescent="0.25">
      <c r="A625" s="25">
        <v>160</v>
      </c>
      <c r="B625" s="26" t="s">
        <v>291</v>
      </c>
      <c r="C625" s="25" t="s">
        <v>43</v>
      </c>
      <c r="D625" s="25">
        <v>1958</v>
      </c>
      <c r="E625" s="27" t="s">
        <v>39</v>
      </c>
      <c r="F625" s="25" t="s">
        <v>77</v>
      </c>
      <c r="G625" s="28">
        <v>2</v>
      </c>
      <c r="H625" s="28">
        <v>1</v>
      </c>
      <c r="I625" s="32">
        <v>508</v>
      </c>
      <c r="J625" s="32">
        <v>283.7</v>
      </c>
      <c r="K625" s="32">
        <v>283.7</v>
      </c>
      <c r="L625" s="35">
        <v>8</v>
      </c>
      <c r="M625" s="31">
        <f t="shared" si="121"/>
        <v>1876305.8199999998</v>
      </c>
      <c r="N625" s="29">
        <v>0</v>
      </c>
      <c r="O625" s="29">
        <v>0</v>
      </c>
      <c r="P625" s="29">
        <v>0</v>
      </c>
      <c r="Q625" s="32">
        <f>'Таблица 3 '!C615</f>
        <v>1876305.8199999998</v>
      </c>
      <c r="R625" s="29">
        <f t="shared" si="122"/>
        <v>1876305.8199999998</v>
      </c>
      <c r="S625" s="32">
        <v>0</v>
      </c>
      <c r="T625" s="29">
        <f t="shared" si="123"/>
        <v>6613.6969333803308</v>
      </c>
      <c r="U625" s="29">
        <f t="shared" si="124"/>
        <v>6613.6969333803308</v>
      </c>
      <c r="V625" s="33" t="s">
        <v>569</v>
      </c>
      <c r="W625" s="23"/>
    </row>
    <row r="626" spans="1:24" s="44" customFormat="1" ht="42.75" customHeight="1" x14ac:dyDescent="0.25">
      <c r="A626" s="25">
        <v>161</v>
      </c>
      <c r="B626" s="26" t="s">
        <v>292</v>
      </c>
      <c r="C626" s="25" t="s">
        <v>43</v>
      </c>
      <c r="D626" s="25">
        <v>1959</v>
      </c>
      <c r="E626" s="27" t="s">
        <v>39</v>
      </c>
      <c r="F626" s="25" t="s">
        <v>44</v>
      </c>
      <c r="G626" s="28">
        <v>3</v>
      </c>
      <c r="H626" s="28">
        <v>2</v>
      </c>
      <c r="I626" s="29">
        <v>1419.2</v>
      </c>
      <c r="J626" s="29">
        <v>849</v>
      </c>
      <c r="K626" s="29">
        <v>848.1</v>
      </c>
      <c r="L626" s="30">
        <v>24</v>
      </c>
      <c r="M626" s="31">
        <f t="shared" si="121"/>
        <v>7814923.4199999999</v>
      </c>
      <c r="N626" s="29">
        <v>0</v>
      </c>
      <c r="O626" s="29">
        <v>0</v>
      </c>
      <c r="P626" s="29">
        <v>0</v>
      </c>
      <c r="Q626" s="32">
        <f>'Таблица 3 '!C616</f>
        <v>7814923.4199999999</v>
      </c>
      <c r="R626" s="29">
        <f t="shared" si="122"/>
        <v>7814923.4199999999</v>
      </c>
      <c r="S626" s="29">
        <v>0</v>
      </c>
      <c r="T626" s="29">
        <f t="shared" si="123"/>
        <v>9204.8567962308589</v>
      </c>
      <c r="U626" s="29">
        <f t="shared" si="124"/>
        <v>9204.8567962308589</v>
      </c>
      <c r="V626" s="33" t="s">
        <v>569</v>
      </c>
    </row>
    <row r="627" spans="1:24" s="44" customFormat="1" ht="42.75" customHeight="1" x14ac:dyDescent="0.25">
      <c r="A627" s="25">
        <v>162</v>
      </c>
      <c r="B627" s="37" t="s">
        <v>638</v>
      </c>
      <c r="C627" s="25" t="s">
        <v>43</v>
      </c>
      <c r="D627" s="27" t="s">
        <v>203</v>
      </c>
      <c r="E627" s="27" t="s">
        <v>39</v>
      </c>
      <c r="F627" s="25" t="s">
        <v>48</v>
      </c>
      <c r="G627" s="28">
        <v>9</v>
      </c>
      <c r="H627" s="28">
        <v>5</v>
      </c>
      <c r="I627" s="29">
        <v>9817.33</v>
      </c>
      <c r="J627" s="29">
        <v>8837.33</v>
      </c>
      <c r="K627" s="29">
        <v>8515.9</v>
      </c>
      <c r="L627" s="30">
        <v>261</v>
      </c>
      <c r="M627" s="31">
        <f t="shared" si="121"/>
        <v>21741159.280000001</v>
      </c>
      <c r="N627" s="29">
        <v>0</v>
      </c>
      <c r="O627" s="29">
        <v>0</v>
      </c>
      <c r="P627" s="29">
        <v>0</v>
      </c>
      <c r="Q627" s="32">
        <f>'Таблица 3 '!C617</f>
        <v>21741159.280000001</v>
      </c>
      <c r="R627" s="29">
        <f t="shared" si="122"/>
        <v>21741159.280000001</v>
      </c>
      <c r="S627" s="29">
        <v>0</v>
      </c>
      <c r="T627" s="29">
        <f t="shared" si="123"/>
        <v>2460.1502127905151</v>
      </c>
      <c r="U627" s="29">
        <f t="shared" si="124"/>
        <v>2460.1502127905151</v>
      </c>
      <c r="V627" s="33" t="s">
        <v>569</v>
      </c>
    </row>
    <row r="628" spans="1:24" s="44" customFormat="1" ht="42.75" customHeight="1" x14ac:dyDescent="0.25">
      <c r="A628" s="25">
        <v>163</v>
      </c>
      <c r="B628" s="38" t="s">
        <v>639</v>
      </c>
      <c r="C628" s="25" t="s">
        <v>85</v>
      </c>
      <c r="D628" s="25">
        <v>2003</v>
      </c>
      <c r="E628" s="27" t="s">
        <v>39</v>
      </c>
      <c r="F628" s="25" t="s">
        <v>44</v>
      </c>
      <c r="G628" s="28">
        <v>9</v>
      </c>
      <c r="H628" s="28">
        <v>2</v>
      </c>
      <c r="I628" s="32">
        <v>5906</v>
      </c>
      <c r="J628" s="32">
        <v>3576.8</v>
      </c>
      <c r="K628" s="32">
        <v>3576.8</v>
      </c>
      <c r="L628" s="35">
        <v>96</v>
      </c>
      <c r="M628" s="31">
        <f t="shared" si="121"/>
        <v>589435</v>
      </c>
      <c r="N628" s="29">
        <v>0</v>
      </c>
      <c r="O628" s="29">
        <v>0</v>
      </c>
      <c r="P628" s="29">
        <v>0</v>
      </c>
      <c r="Q628" s="32">
        <f>'Таблица 3 '!C618</f>
        <v>589435</v>
      </c>
      <c r="R628" s="29">
        <f t="shared" si="122"/>
        <v>589435</v>
      </c>
      <c r="S628" s="29">
        <v>0</v>
      </c>
      <c r="T628" s="29">
        <f t="shared" si="123"/>
        <v>164.79394989935136</v>
      </c>
      <c r="U628" s="29">
        <f t="shared" si="124"/>
        <v>164.79394989935136</v>
      </c>
      <c r="V628" s="33" t="s">
        <v>569</v>
      </c>
    </row>
    <row r="629" spans="1:24" s="44" customFormat="1" ht="42.75" customHeight="1" x14ac:dyDescent="0.25">
      <c r="A629" s="25">
        <v>164</v>
      </c>
      <c r="B629" s="38" t="s">
        <v>640</v>
      </c>
      <c r="C629" s="25" t="s">
        <v>43</v>
      </c>
      <c r="D629" s="25">
        <v>1975</v>
      </c>
      <c r="E629" s="27" t="s">
        <v>39</v>
      </c>
      <c r="F629" s="25" t="s">
        <v>44</v>
      </c>
      <c r="G629" s="28">
        <v>5</v>
      </c>
      <c r="H629" s="28">
        <v>4</v>
      </c>
      <c r="I629" s="32">
        <v>5269.7</v>
      </c>
      <c r="J629" s="32">
        <v>3623.5</v>
      </c>
      <c r="K629" s="32">
        <v>3522.3</v>
      </c>
      <c r="L629" s="35">
        <v>136</v>
      </c>
      <c r="M629" s="31">
        <f t="shared" si="121"/>
        <v>1751910</v>
      </c>
      <c r="N629" s="29">
        <v>0</v>
      </c>
      <c r="O629" s="29">
        <v>0</v>
      </c>
      <c r="P629" s="29">
        <v>0</v>
      </c>
      <c r="Q629" s="32">
        <f>'Таблица 3 '!C619</f>
        <v>1751910</v>
      </c>
      <c r="R629" s="29">
        <f t="shared" si="122"/>
        <v>1751910</v>
      </c>
      <c r="S629" s="29">
        <v>0</v>
      </c>
      <c r="T629" s="29">
        <f t="shared" si="123"/>
        <v>483.48558024009935</v>
      </c>
      <c r="U629" s="29">
        <f t="shared" si="124"/>
        <v>483.48558024009935</v>
      </c>
      <c r="V629" s="33" t="s">
        <v>569</v>
      </c>
    </row>
    <row r="630" spans="1:24" s="44" customFormat="1" ht="42.75" customHeight="1" x14ac:dyDescent="0.25">
      <c r="A630" s="25">
        <v>165</v>
      </c>
      <c r="B630" s="38" t="s">
        <v>641</v>
      </c>
      <c r="C630" s="25" t="s">
        <v>43</v>
      </c>
      <c r="D630" s="25">
        <v>1979</v>
      </c>
      <c r="E630" s="27">
        <v>2023</v>
      </c>
      <c r="F630" s="25" t="s">
        <v>44</v>
      </c>
      <c r="G630" s="28">
        <v>2</v>
      </c>
      <c r="H630" s="28">
        <v>1</v>
      </c>
      <c r="I630" s="32">
        <v>493.9</v>
      </c>
      <c r="J630" s="32">
        <v>485.8</v>
      </c>
      <c r="K630" s="32">
        <v>424.9</v>
      </c>
      <c r="L630" s="35">
        <v>10</v>
      </c>
      <c r="M630" s="31">
        <f t="shared" si="121"/>
        <v>2777418.36</v>
      </c>
      <c r="N630" s="29">
        <v>0</v>
      </c>
      <c r="O630" s="29">
        <v>0</v>
      </c>
      <c r="P630" s="29">
        <v>0</v>
      </c>
      <c r="Q630" s="32">
        <f>'Таблица 3 '!C620</f>
        <v>2777418.36</v>
      </c>
      <c r="R630" s="29">
        <f t="shared" si="122"/>
        <v>2777418.36</v>
      </c>
      <c r="S630" s="29">
        <v>0</v>
      </c>
      <c r="T630" s="29">
        <f t="shared" si="123"/>
        <v>5717.2053519967058</v>
      </c>
      <c r="U630" s="29">
        <f t="shared" si="124"/>
        <v>5717.2053519967058</v>
      </c>
      <c r="V630" s="33" t="s">
        <v>569</v>
      </c>
    </row>
    <row r="631" spans="1:24" s="44" customFormat="1" ht="42.75" customHeight="1" x14ac:dyDescent="0.25">
      <c r="A631" s="25">
        <v>166</v>
      </c>
      <c r="B631" s="26" t="s">
        <v>642</v>
      </c>
      <c r="C631" s="25" t="s">
        <v>43</v>
      </c>
      <c r="D631" s="25">
        <v>2004</v>
      </c>
      <c r="E631" s="27" t="s">
        <v>39</v>
      </c>
      <c r="F631" s="25" t="s">
        <v>44</v>
      </c>
      <c r="G631" s="28">
        <v>10</v>
      </c>
      <c r="H631" s="28">
        <v>3</v>
      </c>
      <c r="I631" s="32">
        <v>7532</v>
      </c>
      <c r="J631" s="32">
        <v>6239.6</v>
      </c>
      <c r="K631" s="32">
        <v>5707.98</v>
      </c>
      <c r="L631" s="35">
        <v>173</v>
      </c>
      <c r="M631" s="31">
        <f t="shared" si="121"/>
        <v>16715728.210000001</v>
      </c>
      <c r="N631" s="29">
        <v>0</v>
      </c>
      <c r="O631" s="29">
        <v>0</v>
      </c>
      <c r="P631" s="29">
        <v>0</v>
      </c>
      <c r="Q631" s="32">
        <f>'Таблица 3 '!C621</f>
        <v>16715728.210000001</v>
      </c>
      <c r="R631" s="29">
        <f t="shared" si="122"/>
        <v>16715728.210000001</v>
      </c>
      <c r="S631" s="32">
        <v>0</v>
      </c>
      <c r="T631" s="29">
        <f t="shared" si="123"/>
        <v>2678.9743268799284</v>
      </c>
      <c r="U631" s="29">
        <f t="shared" si="124"/>
        <v>2678.9743268799284</v>
      </c>
      <c r="V631" s="33" t="s">
        <v>569</v>
      </c>
    </row>
    <row r="632" spans="1:24" s="44" customFormat="1" ht="42.75" customHeight="1" x14ac:dyDescent="0.25">
      <c r="A632" s="25">
        <v>167</v>
      </c>
      <c r="B632" s="26" t="s">
        <v>297</v>
      </c>
      <c r="C632" s="25" t="s">
        <v>43</v>
      </c>
      <c r="D632" s="25">
        <v>1973</v>
      </c>
      <c r="E632" s="27" t="s">
        <v>39</v>
      </c>
      <c r="F632" s="25" t="s">
        <v>48</v>
      </c>
      <c r="G632" s="28">
        <v>5</v>
      </c>
      <c r="H632" s="28">
        <v>4</v>
      </c>
      <c r="I632" s="32">
        <v>4583</v>
      </c>
      <c r="J632" s="32">
        <v>3295.8</v>
      </c>
      <c r="K632" s="32">
        <v>3137.7</v>
      </c>
      <c r="L632" s="35">
        <v>120</v>
      </c>
      <c r="M632" s="31">
        <f t="shared" si="121"/>
        <v>6308502.6400000006</v>
      </c>
      <c r="N632" s="29">
        <v>0</v>
      </c>
      <c r="O632" s="29">
        <v>0</v>
      </c>
      <c r="P632" s="29">
        <v>0</v>
      </c>
      <c r="Q632" s="32">
        <f>'Таблица 3 '!C622</f>
        <v>6308502.6400000006</v>
      </c>
      <c r="R632" s="29">
        <f t="shared" si="122"/>
        <v>6308502.6400000006</v>
      </c>
      <c r="S632" s="32">
        <v>0</v>
      </c>
      <c r="T632" s="29">
        <f t="shared" si="123"/>
        <v>1914.1035985193278</v>
      </c>
      <c r="U632" s="29">
        <f t="shared" si="124"/>
        <v>1914.1035985193278</v>
      </c>
      <c r="V632" s="33" t="s">
        <v>569</v>
      </c>
    </row>
    <row r="633" spans="1:24" s="44" customFormat="1" ht="42.75" customHeight="1" x14ac:dyDescent="0.25">
      <c r="A633" s="25">
        <v>168</v>
      </c>
      <c r="B633" s="26" t="s">
        <v>298</v>
      </c>
      <c r="C633" s="25" t="s">
        <v>85</v>
      </c>
      <c r="D633" s="25">
        <v>2010</v>
      </c>
      <c r="E633" s="27" t="s">
        <v>39</v>
      </c>
      <c r="F633" s="25" t="s">
        <v>44</v>
      </c>
      <c r="G633" s="28">
        <v>16</v>
      </c>
      <c r="H633" s="28">
        <v>5</v>
      </c>
      <c r="I633" s="32">
        <v>32374.33</v>
      </c>
      <c r="J633" s="32">
        <v>32374.33</v>
      </c>
      <c r="K633" s="32">
        <v>32280.43</v>
      </c>
      <c r="L633" s="35">
        <v>376</v>
      </c>
      <c r="M633" s="31">
        <f t="shared" si="121"/>
        <v>27466590.350000001</v>
      </c>
      <c r="N633" s="29">
        <v>0</v>
      </c>
      <c r="O633" s="29">
        <v>0</v>
      </c>
      <c r="P633" s="29">
        <v>0</v>
      </c>
      <c r="Q633" s="32">
        <f>'Таблица 3 '!C623</f>
        <v>27466590.350000001</v>
      </c>
      <c r="R633" s="29">
        <f t="shared" si="122"/>
        <v>27466590.350000001</v>
      </c>
      <c r="S633" s="32">
        <v>0</v>
      </c>
      <c r="T633" s="29">
        <f t="shared" si="123"/>
        <v>848.40644887477208</v>
      </c>
      <c r="U633" s="29">
        <f t="shared" si="124"/>
        <v>848.40644887477208</v>
      </c>
      <c r="V633" s="33" t="s">
        <v>569</v>
      </c>
    </row>
    <row r="634" spans="1:24" s="44" customFormat="1" ht="42.75" customHeight="1" x14ac:dyDescent="0.25">
      <c r="A634" s="25">
        <v>169</v>
      </c>
      <c r="B634" s="26" t="s">
        <v>299</v>
      </c>
      <c r="C634" s="25" t="s">
        <v>43</v>
      </c>
      <c r="D634" s="25">
        <v>1992</v>
      </c>
      <c r="E634" s="27" t="s">
        <v>60</v>
      </c>
      <c r="F634" s="25" t="s">
        <v>48</v>
      </c>
      <c r="G634" s="28">
        <v>10</v>
      </c>
      <c r="H634" s="28">
        <v>3</v>
      </c>
      <c r="I634" s="32">
        <v>7301.4</v>
      </c>
      <c r="J634" s="32">
        <v>7242.6</v>
      </c>
      <c r="K634" s="32">
        <v>7095.1</v>
      </c>
      <c r="L634" s="35">
        <v>239</v>
      </c>
      <c r="M634" s="31">
        <f t="shared" si="121"/>
        <v>13863086.73</v>
      </c>
      <c r="N634" s="29">
        <v>0</v>
      </c>
      <c r="O634" s="29">
        <v>0</v>
      </c>
      <c r="P634" s="29">
        <v>0</v>
      </c>
      <c r="Q634" s="32">
        <f>'Таблица 3 '!C624</f>
        <v>13863086.73</v>
      </c>
      <c r="R634" s="29">
        <f t="shared" si="122"/>
        <v>13863086.73</v>
      </c>
      <c r="S634" s="32">
        <v>0</v>
      </c>
      <c r="T634" s="29">
        <f t="shared" si="123"/>
        <v>1914.1035995360783</v>
      </c>
      <c r="U634" s="29">
        <f t="shared" si="124"/>
        <v>1914.1035995360783</v>
      </c>
      <c r="V634" s="33" t="s">
        <v>569</v>
      </c>
      <c r="W634" s="23"/>
    </row>
    <row r="635" spans="1:24" s="44" customFormat="1" ht="42.75" customHeight="1" x14ac:dyDescent="0.25">
      <c r="A635" s="25">
        <v>170</v>
      </c>
      <c r="B635" s="26" t="s">
        <v>643</v>
      </c>
      <c r="C635" s="25" t="s">
        <v>43</v>
      </c>
      <c r="D635" s="25">
        <v>1972</v>
      </c>
      <c r="E635" s="27" t="s">
        <v>39</v>
      </c>
      <c r="F635" s="25" t="s">
        <v>44</v>
      </c>
      <c r="G635" s="28">
        <v>5</v>
      </c>
      <c r="H635" s="28">
        <v>4</v>
      </c>
      <c r="I635" s="32">
        <v>4526.8</v>
      </c>
      <c r="J635" s="32">
        <v>3277.8</v>
      </c>
      <c r="K635" s="32">
        <v>3068.3</v>
      </c>
      <c r="L635" s="35">
        <v>155</v>
      </c>
      <c r="M635" s="31">
        <f t="shared" si="121"/>
        <v>17769739.419999998</v>
      </c>
      <c r="N635" s="29">
        <v>0</v>
      </c>
      <c r="O635" s="29">
        <v>0</v>
      </c>
      <c r="P635" s="29">
        <v>0</v>
      </c>
      <c r="Q635" s="32">
        <f>'Таблица 3 '!C625</f>
        <v>17769739.419999998</v>
      </c>
      <c r="R635" s="29">
        <f t="shared" si="122"/>
        <v>17769739.419999998</v>
      </c>
      <c r="S635" s="32">
        <v>0</v>
      </c>
      <c r="T635" s="29">
        <f t="shared" si="123"/>
        <v>5421.2396790530229</v>
      </c>
      <c r="U635" s="29">
        <f t="shared" si="124"/>
        <v>5421.2396790530229</v>
      </c>
      <c r="V635" s="33" t="s">
        <v>569</v>
      </c>
      <c r="W635" s="23"/>
    </row>
    <row r="636" spans="1:24" s="44" customFormat="1" ht="42.75" customHeight="1" x14ac:dyDescent="0.25">
      <c r="A636" s="25">
        <v>171</v>
      </c>
      <c r="B636" s="26" t="s">
        <v>303</v>
      </c>
      <c r="C636" s="25" t="s">
        <v>43</v>
      </c>
      <c r="D636" s="25">
        <v>1984</v>
      </c>
      <c r="E636" s="27" t="s">
        <v>39</v>
      </c>
      <c r="F636" s="25" t="s">
        <v>48</v>
      </c>
      <c r="G636" s="28">
        <v>5</v>
      </c>
      <c r="H636" s="28">
        <v>4</v>
      </c>
      <c r="I636" s="29">
        <v>3963.4</v>
      </c>
      <c r="J636" s="29">
        <v>2717.4</v>
      </c>
      <c r="K636" s="29">
        <v>2560.8000000000002</v>
      </c>
      <c r="L636" s="30">
        <v>138</v>
      </c>
      <c r="M636" s="31">
        <f t="shared" si="121"/>
        <v>4261657.0999999996</v>
      </c>
      <c r="N636" s="29">
        <v>0</v>
      </c>
      <c r="O636" s="29">
        <v>0</v>
      </c>
      <c r="P636" s="29">
        <v>0</v>
      </c>
      <c r="Q636" s="32">
        <f>'Таблица 3 '!C626</f>
        <v>4261657.0999999996</v>
      </c>
      <c r="R636" s="29">
        <f t="shared" si="122"/>
        <v>4261657.0999999996</v>
      </c>
      <c r="S636" s="29">
        <v>0</v>
      </c>
      <c r="T636" s="29">
        <f t="shared" si="123"/>
        <v>1568.2847942886581</v>
      </c>
      <c r="U636" s="29">
        <f t="shared" si="124"/>
        <v>1568.2847942886581</v>
      </c>
      <c r="V636" s="33" t="s">
        <v>569</v>
      </c>
    </row>
    <row r="637" spans="1:24" s="44" customFormat="1" ht="25.5" customHeight="1" x14ac:dyDescent="0.25">
      <c r="A637" s="326" t="s">
        <v>304</v>
      </c>
      <c r="B637" s="326"/>
      <c r="C637" s="18" t="s">
        <v>40</v>
      </c>
      <c r="D637" s="18" t="s">
        <v>40</v>
      </c>
      <c r="E637" s="19" t="s">
        <v>40</v>
      </c>
      <c r="F637" s="18" t="s">
        <v>40</v>
      </c>
      <c r="G637" s="20" t="s">
        <v>40</v>
      </c>
      <c r="H637" s="20" t="s">
        <v>40</v>
      </c>
      <c r="I637" s="21">
        <f t="shared" ref="I637:S637" si="125">I638</f>
        <v>1106.2</v>
      </c>
      <c r="J637" s="21">
        <f t="shared" si="125"/>
        <v>903.55</v>
      </c>
      <c r="K637" s="21">
        <f t="shared" si="125"/>
        <v>903.55</v>
      </c>
      <c r="L637" s="22">
        <f t="shared" si="125"/>
        <v>33</v>
      </c>
      <c r="M637" s="21">
        <f t="shared" si="125"/>
        <v>4801450.8500000006</v>
      </c>
      <c r="N637" s="21">
        <f t="shared" si="125"/>
        <v>0</v>
      </c>
      <c r="O637" s="21">
        <f t="shared" si="125"/>
        <v>0</v>
      </c>
      <c r="P637" s="21">
        <f t="shared" si="125"/>
        <v>0</v>
      </c>
      <c r="Q637" s="21">
        <f t="shared" si="125"/>
        <v>4801450.8500000006</v>
      </c>
      <c r="R637" s="21">
        <f t="shared" si="125"/>
        <v>4801450.8500000006</v>
      </c>
      <c r="S637" s="21">
        <f t="shared" si="125"/>
        <v>0</v>
      </c>
      <c r="T637" s="58" t="s">
        <v>40</v>
      </c>
      <c r="U637" s="24" t="s">
        <v>40</v>
      </c>
      <c r="V637" s="59" t="s">
        <v>40</v>
      </c>
      <c r="W637" s="23"/>
      <c r="X637" s="23"/>
    </row>
    <row r="638" spans="1:24" s="44" customFormat="1" ht="42.75" customHeight="1" x14ac:dyDescent="0.25">
      <c r="A638" s="25">
        <v>1</v>
      </c>
      <c r="B638" s="38" t="s">
        <v>644</v>
      </c>
      <c r="C638" s="25" t="s">
        <v>43</v>
      </c>
      <c r="D638" s="25">
        <v>1985</v>
      </c>
      <c r="E638" s="27" t="s">
        <v>39</v>
      </c>
      <c r="F638" s="25" t="s">
        <v>44</v>
      </c>
      <c r="G638" s="28">
        <v>2</v>
      </c>
      <c r="H638" s="28">
        <v>3</v>
      </c>
      <c r="I638" s="32">
        <v>1106.2</v>
      </c>
      <c r="J638" s="32">
        <v>903.55</v>
      </c>
      <c r="K638" s="32">
        <v>903.55</v>
      </c>
      <c r="L638" s="35">
        <v>33</v>
      </c>
      <c r="M638" s="32">
        <f>SUM(N638:Q638)</f>
        <v>4801450.8500000006</v>
      </c>
      <c r="N638" s="29">
        <v>0</v>
      </c>
      <c r="O638" s="29">
        <v>0</v>
      </c>
      <c r="P638" s="29">
        <v>0</v>
      </c>
      <c r="Q638" s="32">
        <f>'Таблица 3 '!C628</f>
        <v>4801450.8500000006</v>
      </c>
      <c r="R638" s="32">
        <f>Q638</f>
        <v>4801450.8500000006</v>
      </c>
      <c r="S638" s="29">
        <v>0</v>
      </c>
      <c r="T638" s="29">
        <f t="shared" si="123"/>
        <v>5313.9846715732401</v>
      </c>
      <c r="U638" s="32">
        <f t="shared" si="124"/>
        <v>5313.9846715732401</v>
      </c>
      <c r="V638" s="33" t="s">
        <v>569</v>
      </c>
      <c r="W638" s="23"/>
      <c r="X638" s="23"/>
    </row>
    <row r="639" spans="1:24" s="44" customFormat="1" ht="27" customHeight="1" x14ac:dyDescent="0.25">
      <c r="A639" s="322" t="s">
        <v>309</v>
      </c>
      <c r="B639" s="322"/>
      <c r="C639" s="18" t="s">
        <v>39</v>
      </c>
      <c r="D639" s="18" t="s">
        <v>39</v>
      </c>
      <c r="E639" s="19" t="s">
        <v>39</v>
      </c>
      <c r="F639" s="18" t="s">
        <v>39</v>
      </c>
      <c r="G639" s="20" t="s">
        <v>39</v>
      </c>
      <c r="H639" s="20" t="s">
        <v>39</v>
      </c>
      <c r="I639" s="60">
        <f t="shared" ref="I639:S639" si="126">SUM(I640:I642)</f>
        <v>11786</v>
      </c>
      <c r="J639" s="60">
        <f t="shared" si="126"/>
        <v>8582.92</v>
      </c>
      <c r="K639" s="60">
        <f t="shared" si="126"/>
        <v>7227.68</v>
      </c>
      <c r="L639" s="61">
        <f t="shared" si="126"/>
        <v>417</v>
      </c>
      <c r="M639" s="60">
        <f t="shared" si="126"/>
        <v>26413494.32</v>
      </c>
      <c r="N639" s="60">
        <f t="shared" si="126"/>
        <v>0</v>
      </c>
      <c r="O639" s="60">
        <f t="shared" si="126"/>
        <v>0</v>
      </c>
      <c r="P639" s="60">
        <f t="shared" si="126"/>
        <v>0</v>
      </c>
      <c r="Q639" s="60">
        <f t="shared" si="126"/>
        <v>26413494.32</v>
      </c>
      <c r="R639" s="60">
        <f t="shared" si="126"/>
        <v>26413494.32</v>
      </c>
      <c r="S639" s="60">
        <f t="shared" si="126"/>
        <v>0</v>
      </c>
      <c r="T639" s="58" t="s">
        <v>39</v>
      </c>
      <c r="U639" s="24" t="s">
        <v>39</v>
      </c>
      <c r="V639" s="62" t="s">
        <v>39</v>
      </c>
    </row>
    <row r="640" spans="1:24" s="44" customFormat="1" ht="42.75" customHeight="1" x14ac:dyDescent="0.25">
      <c r="A640" s="25">
        <v>1</v>
      </c>
      <c r="B640" s="37" t="s">
        <v>645</v>
      </c>
      <c r="C640" s="25" t="s">
        <v>43</v>
      </c>
      <c r="D640" s="25">
        <v>1987</v>
      </c>
      <c r="E640" s="27" t="s">
        <v>39</v>
      </c>
      <c r="F640" s="25" t="s">
        <v>44</v>
      </c>
      <c r="G640" s="28">
        <v>5</v>
      </c>
      <c r="H640" s="28">
        <v>4</v>
      </c>
      <c r="I640" s="32">
        <v>3644</v>
      </c>
      <c r="J640" s="32">
        <v>2483</v>
      </c>
      <c r="K640" s="32">
        <v>2052.58</v>
      </c>
      <c r="L640" s="35">
        <v>134</v>
      </c>
      <c r="M640" s="31">
        <f t="shared" ref="M640:M642" si="127">SUM(N640:Q640)</f>
        <v>16260493.48</v>
      </c>
      <c r="N640" s="29">
        <v>0</v>
      </c>
      <c r="O640" s="29">
        <v>0</v>
      </c>
      <c r="P640" s="29">
        <v>0</v>
      </c>
      <c r="Q640" s="32">
        <f>'Таблица 3 '!C630</f>
        <v>16260493.48</v>
      </c>
      <c r="R640" s="32">
        <f t="shared" ref="R640:R642" si="128">Q640</f>
        <v>16260493.48</v>
      </c>
      <c r="S640" s="29">
        <v>0</v>
      </c>
      <c r="T640" s="42">
        <f t="shared" si="123"/>
        <v>6548.7287474828836</v>
      </c>
      <c r="U640" s="32">
        <f t="shared" si="124"/>
        <v>6548.7287474828836</v>
      </c>
      <c r="V640" s="33" t="s">
        <v>569</v>
      </c>
    </row>
    <row r="641" spans="1:23" s="44" customFormat="1" ht="42.75" customHeight="1" x14ac:dyDescent="0.25">
      <c r="A641" s="25">
        <v>2</v>
      </c>
      <c r="B641" s="37" t="s">
        <v>313</v>
      </c>
      <c r="C641" s="25" t="s">
        <v>43</v>
      </c>
      <c r="D641" s="25">
        <v>1987</v>
      </c>
      <c r="E641" s="27" t="s">
        <v>39</v>
      </c>
      <c r="F641" s="25" t="s">
        <v>44</v>
      </c>
      <c r="G641" s="28">
        <v>5</v>
      </c>
      <c r="H641" s="28">
        <v>4</v>
      </c>
      <c r="I641" s="32">
        <v>4083</v>
      </c>
      <c r="J641" s="32">
        <v>2582.34</v>
      </c>
      <c r="K641" s="32">
        <v>2176.5500000000002</v>
      </c>
      <c r="L641" s="35">
        <v>134</v>
      </c>
      <c r="M641" s="31">
        <f t="shared" si="127"/>
        <v>5500095.0100000007</v>
      </c>
      <c r="N641" s="29">
        <v>0</v>
      </c>
      <c r="O641" s="29">
        <v>0</v>
      </c>
      <c r="P641" s="29">
        <v>0</v>
      </c>
      <c r="Q641" s="32">
        <f>'Таблица 3 '!C631</f>
        <v>5500095.0100000007</v>
      </c>
      <c r="R641" s="32">
        <f t="shared" si="128"/>
        <v>5500095.0100000007</v>
      </c>
      <c r="S641" s="29">
        <v>0</v>
      </c>
      <c r="T641" s="42">
        <f t="shared" si="123"/>
        <v>2129.8880124228413</v>
      </c>
      <c r="U641" s="32">
        <f t="shared" si="124"/>
        <v>2129.8880124228413</v>
      </c>
      <c r="V641" s="33" t="s">
        <v>569</v>
      </c>
    </row>
    <row r="642" spans="1:23" s="44" customFormat="1" ht="42.75" customHeight="1" x14ac:dyDescent="0.25">
      <c r="A642" s="25">
        <v>3</v>
      </c>
      <c r="B642" s="37" t="s">
        <v>317</v>
      </c>
      <c r="C642" s="25" t="s">
        <v>43</v>
      </c>
      <c r="D642" s="25">
        <v>1981</v>
      </c>
      <c r="E642" s="27" t="s">
        <v>39</v>
      </c>
      <c r="F642" s="25" t="s">
        <v>44</v>
      </c>
      <c r="G642" s="28">
        <v>5</v>
      </c>
      <c r="H642" s="28">
        <v>4</v>
      </c>
      <c r="I642" s="32">
        <v>4059</v>
      </c>
      <c r="J642" s="32">
        <v>3517.58</v>
      </c>
      <c r="K642" s="32">
        <v>2998.55</v>
      </c>
      <c r="L642" s="35">
        <v>149</v>
      </c>
      <c r="M642" s="31">
        <f t="shared" si="127"/>
        <v>4652905.83</v>
      </c>
      <c r="N642" s="29">
        <v>0</v>
      </c>
      <c r="O642" s="29">
        <v>0</v>
      </c>
      <c r="P642" s="29">
        <v>0</v>
      </c>
      <c r="Q642" s="32">
        <f>'Таблица 3 '!C632</f>
        <v>4652905.83</v>
      </c>
      <c r="R642" s="32">
        <f t="shared" si="128"/>
        <v>4652905.83</v>
      </c>
      <c r="S642" s="29">
        <v>0</v>
      </c>
      <c r="T642" s="42">
        <f t="shared" si="123"/>
        <v>1322.75764303868</v>
      </c>
      <c r="U642" s="32">
        <f t="shared" si="124"/>
        <v>1322.75764303868</v>
      </c>
      <c r="V642" s="33" t="s">
        <v>569</v>
      </c>
    </row>
    <row r="643" spans="1:23" s="23" customFormat="1" ht="24" customHeight="1" x14ac:dyDescent="0.2">
      <c r="A643" s="322" t="s">
        <v>318</v>
      </c>
      <c r="B643" s="322"/>
      <c r="C643" s="20" t="s">
        <v>39</v>
      </c>
      <c r="D643" s="20" t="s">
        <v>39</v>
      </c>
      <c r="E643" s="62" t="s">
        <v>39</v>
      </c>
      <c r="F643" s="20" t="s">
        <v>39</v>
      </c>
      <c r="G643" s="20" t="s">
        <v>39</v>
      </c>
      <c r="H643" s="20" t="s">
        <v>39</v>
      </c>
      <c r="I643" s="60">
        <f t="shared" ref="I643:S643" si="129">SUM(I644:I651)</f>
        <v>8795.7799999999988</v>
      </c>
      <c r="J643" s="60">
        <f t="shared" si="129"/>
        <v>7942.6799999999994</v>
      </c>
      <c r="K643" s="60">
        <f t="shared" si="129"/>
        <v>7480.03</v>
      </c>
      <c r="L643" s="61">
        <f t="shared" si="129"/>
        <v>305</v>
      </c>
      <c r="M643" s="60">
        <f t="shared" si="129"/>
        <v>32293446.030000001</v>
      </c>
      <c r="N643" s="60">
        <f t="shared" si="129"/>
        <v>0</v>
      </c>
      <c r="O643" s="60">
        <f t="shared" si="129"/>
        <v>0</v>
      </c>
      <c r="P643" s="60">
        <f t="shared" si="129"/>
        <v>0</v>
      </c>
      <c r="Q643" s="60">
        <f t="shared" si="129"/>
        <v>32293446.030000001</v>
      </c>
      <c r="R643" s="60">
        <f t="shared" si="129"/>
        <v>32293446.030000001</v>
      </c>
      <c r="S643" s="60">
        <f t="shared" si="129"/>
        <v>0</v>
      </c>
      <c r="T643" s="24" t="s">
        <v>39</v>
      </c>
      <c r="U643" s="24" t="s">
        <v>39</v>
      </c>
      <c r="V643" s="62" t="s">
        <v>39</v>
      </c>
    </row>
    <row r="644" spans="1:23" s="23" customFormat="1" ht="44.25" customHeight="1" x14ac:dyDescent="0.25">
      <c r="A644" s="25">
        <v>1</v>
      </c>
      <c r="B644" s="38" t="s">
        <v>646</v>
      </c>
      <c r="C644" s="25" t="s">
        <v>43</v>
      </c>
      <c r="D644" s="28">
        <v>1990</v>
      </c>
      <c r="E644" s="63" t="s">
        <v>39</v>
      </c>
      <c r="F644" s="25" t="s">
        <v>77</v>
      </c>
      <c r="G644" s="28">
        <v>3</v>
      </c>
      <c r="H644" s="28">
        <v>3</v>
      </c>
      <c r="I644" s="29">
        <v>1570.86</v>
      </c>
      <c r="J644" s="29">
        <v>1522.6</v>
      </c>
      <c r="K644" s="29">
        <v>1296.8</v>
      </c>
      <c r="L644" s="30">
        <v>58</v>
      </c>
      <c r="M644" s="31">
        <f t="shared" ref="M644:M651" si="130">SUM(N644:Q644)</f>
        <v>1062376</v>
      </c>
      <c r="N644" s="29">
        <v>0</v>
      </c>
      <c r="O644" s="29">
        <v>0</v>
      </c>
      <c r="P644" s="29">
        <v>0</v>
      </c>
      <c r="Q644" s="29">
        <f>'Таблица 3 '!C634</f>
        <v>1062376</v>
      </c>
      <c r="R644" s="29">
        <f t="shared" ref="R644:R651" si="131">Q644</f>
        <v>1062376</v>
      </c>
      <c r="S644" s="29">
        <v>0</v>
      </c>
      <c r="T644" s="29">
        <f t="shared" si="123"/>
        <v>697.73807960068314</v>
      </c>
      <c r="U644" s="29">
        <f t="shared" si="124"/>
        <v>697.73807960068314</v>
      </c>
      <c r="V644" s="33" t="s">
        <v>569</v>
      </c>
      <c r="W644" s="44"/>
    </row>
    <row r="645" spans="1:23" s="23" customFormat="1" ht="44.25" customHeight="1" x14ac:dyDescent="0.25">
      <c r="A645" s="25">
        <v>2</v>
      </c>
      <c r="B645" s="38" t="s">
        <v>647</v>
      </c>
      <c r="C645" s="25" t="s">
        <v>43</v>
      </c>
      <c r="D645" s="28">
        <v>1975</v>
      </c>
      <c r="E645" s="63" t="s">
        <v>39</v>
      </c>
      <c r="F645" s="25" t="s">
        <v>77</v>
      </c>
      <c r="G645" s="28">
        <v>3</v>
      </c>
      <c r="H645" s="28">
        <v>3</v>
      </c>
      <c r="I645" s="29">
        <v>1648</v>
      </c>
      <c r="J645" s="29">
        <v>1099.8499999999999</v>
      </c>
      <c r="K645" s="29">
        <v>1028.3</v>
      </c>
      <c r="L645" s="30">
        <v>35</v>
      </c>
      <c r="M645" s="31">
        <f t="shared" si="130"/>
        <v>1783496.54</v>
      </c>
      <c r="N645" s="29">
        <v>0</v>
      </c>
      <c r="O645" s="29">
        <v>0</v>
      </c>
      <c r="P645" s="29">
        <v>0</v>
      </c>
      <c r="Q645" s="29">
        <f>'Таблица 3 '!C635</f>
        <v>1783496.54</v>
      </c>
      <c r="R645" s="29">
        <f t="shared" si="131"/>
        <v>1783496.54</v>
      </c>
      <c r="S645" s="29">
        <v>0</v>
      </c>
      <c r="T645" s="29">
        <f t="shared" si="123"/>
        <v>1621.5816156748649</v>
      </c>
      <c r="U645" s="29">
        <f t="shared" si="124"/>
        <v>1621.5816156748649</v>
      </c>
      <c r="V645" s="33" t="s">
        <v>569</v>
      </c>
      <c r="W645" s="44"/>
    </row>
    <row r="646" spans="1:23" s="23" customFormat="1" ht="44.25" customHeight="1" x14ac:dyDescent="0.25">
      <c r="A646" s="25">
        <v>3</v>
      </c>
      <c r="B646" s="38" t="s">
        <v>648</v>
      </c>
      <c r="C646" s="25" t="s">
        <v>43</v>
      </c>
      <c r="D646" s="28">
        <v>1972</v>
      </c>
      <c r="E646" s="63">
        <v>2019</v>
      </c>
      <c r="F646" s="25" t="s">
        <v>77</v>
      </c>
      <c r="G646" s="28">
        <v>3</v>
      </c>
      <c r="H646" s="28">
        <v>2</v>
      </c>
      <c r="I646" s="29">
        <v>1143.1199999999999</v>
      </c>
      <c r="J646" s="29">
        <v>1091.55</v>
      </c>
      <c r="K646" s="29">
        <v>1091.55</v>
      </c>
      <c r="L646" s="30">
        <v>40</v>
      </c>
      <c r="M646" s="31">
        <f t="shared" si="130"/>
        <v>1549969.36</v>
      </c>
      <c r="N646" s="29">
        <v>0</v>
      </c>
      <c r="O646" s="29">
        <v>0</v>
      </c>
      <c r="P646" s="29">
        <v>0</v>
      </c>
      <c r="Q646" s="29">
        <f>'Таблица 3 '!C636</f>
        <v>1549969.36</v>
      </c>
      <c r="R646" s="29">
        <f t="shared" si="131"/>
        <v>1549969.36</v>
      </c>
      <c r="S646" s="29">
        <v>0</v>
      </c>
      <c r="T646" s="29">
        <f t="shared" si="123"/>
        <v>1419.9710136961203</v>
      </c>
      <c r="U646" s="29">
        <f t="shared" si="124"/>
        <v>1419.9710136961203</v>
      </c>
      <c r="V646" s="33" t="s">
        <v>569</v>
      </c>
      <c r="W646" s="44"/>
    </row>
    <row r="647" spans="1:23" s="44" customFormat="1" ht="45" x14ac:dyDescent="0.25">
      <c r="A647" s="25">
        <v>4</v>
      </c>
      <c r="B647" s="71" t="s">
        <v>322</v>
      </c>
      <c r="C647" s="25" t="s">
        <v>43</v>
      </c>
      <c r="D647" s="28">
        <v>1977</v>
      </c>
      <c r="E647" s="63">
        <v>2019</v>
      </c>
      <c r="F647" s="28" t="s">
        <v>320</v>
      </c>
      <c r="G647" s="28">
        <v>2</v>
      </c>
      <c r="H647" s="28">
        <v>2</v>
      </c>
      <c r="I647" s="29">
        <v>828.6</v>
      </c>
      <c r="J647" s="29">
        <v>729.42</v>
      </c>
      <c r="K647" s="29">
        <v>729.42</v>
      </c>
      <c r="L647" s="30">
        <v>30</v>
      </c>
      <c r="M647" s="31">
        <f t="shared" si="130"/>
        <v>2167883.4500000002</v>
      </c>
      <c r="N647" s="29">
        <v>0</v>
      </c>
      <c r="O647" s="29">
        <v>0</v>
      </c>
      <c r="P647" s="29">
        <v>0</v>
      </c>
      <c r="Q647" s="29">
        <f>'Таблица 3 '!C637</f>
        <v>2167883.4500000002</v>
      </c>
      <c r="R647" s="29">
        <f t="shared" si="131"/>
        <v>2167883.4500000002</v>
      </c>
      <c r="S647" s="29">
        <v>0</v>
      </c>
      <c r="T647" s="29">
        <f t="shared" si="123"/>
        <v>2972.0647226563574</v>
      </c>
      <c r="U647" s="29">
        <f t="shared" si="124"/>
        <v>2972.0647226563574</v>
      </c>
      <c r="V647" s="33" t="s">
        <v>569</v>
      </c>
    </row>
    <row r="648" spans="1:23" s="44" customFormat="1" ht="45" x14ac:dyDescent="0.25">
      <c r="A648" s="25">
        <v>5</v>
      </c>
      <c r="B648" s="37" t="s">
        <v>649</v>
      </c>
      <c r="C648" s="25" t="s">
        <v>43</v>
      </c>
      <c r="D648" s="25">
        <v>1988</v>
      </c>
      <c r="E648" s="27" t="s">
        <v>40</v>
      </c>
      <c r="F648" s="25" t="s">
        <v>77</v>
      </c>
      <c r="G648" s="28">
        <v>2</v>
      </c>
      <c r="H648" s="28">
        <v>3</v>
      </c>
      <c r="I648" s="29">
        <v>966</v>
      </c>
      <c r="J648" s="29">
        <v>953.82</v>
      </c>
      <c r="K648" s="29">
        <v>893.22</v>
      </c>
      <c r="L648" s="30">
        <v>42</v>
      </c>
      <c r="M648" s="31">
        <f t="shared" si="130"/>
        <v>9045370.5099999998</v>
      </c>
      <c r="N648" s="29">
        <v>0</v>
      </c>
      <c r="O648" s="29">
        <v>0</v>
      </c>
      <c r="P648" s="29">
        <v>0</v>
      </c>
      <c r="Q648" s="29">
        <f>'Таблица 3 '!C638</f>
        <v>9045370.5099999998</v>
      </c>
      <c r="R648" s="29">
        <f t="shared" si="131"/>
        <v>9045370.5099999998</v>
      </c>
      <c r="S648" s="29">
        <v>0</v>
      </c>
      <c r="T648" s="29">
        <f t="shared" si="123"/>
        <v>9483.3097544610082</v>
      </c>
      <c r="U648" s="29">
        <f t="shared" si="124"/>
        <v>9483.3097544610082</v>
      </c>
      <c r="V648" s="33" t="s">
        <v>569</v>
      </c>
    </row>
    <row r="649" spans="1:23" s="44" customFormat="1" ht="45" x14ac:dyDescent="0.25">
      <c r="A649" s="25">
        <v>6</v>
      </c>
      <c r="B649" s="37" t="s">
        <v>650</v>
      </c>
      <c r="C649" s="25" t="s">
        <v>43</v>
      </c>
      <c r="D649" s="25">
        <v>1986</v>
      </c>
      <c r="E649" s="27" t="s">
        <v>40</v>
      </c>
      <c r="F649" s="25" t="s">
        <v>77</v>
      </c>
      <c r="G649" s="28">
        <v>2</v>
      </c>
      <c r="H649" s="28">
        <v>3</v>
      </c>
      <c r="I649" s="29">
        <v>957.91</v>
      </c>
      <c r="J649" s="29">
        <v>957.91</v>
      </c>
      <c r="K649" s="29">
        <v>897.71</v>
      </c>
      <c r="L649" s="30">
        <v>48</v>
      </c>
      <c r="M649" s="31">
        <f t="shared" si="130"/>
        <v>9086700.3200000003</v>
      </c>
      <c r="N649" s="29">
        <v>0</v>
      </c>
      <c r="O649" s="29">
        <v>0</v>
      </c>
      <c r="P649" s="29">
        <v>0</v>
      </c>
      <c r="Q649" s="29">
        <f>'Таблица 3 '!C639</f>
        <v>9086700.3200000003</v>
      </c>
      <c r="R649" s="29">
        <f t="shared" si="131"/>
        <v>9086700.3200000003</v>
      </c>
      <c r="S649" s="29">
        <v>0</v>
      </c>
      <c r="T649" s="29">
        <f t="shared" si="123"/>
        <v>9485.9645686964341</v>
      </c>
      <c r="U649" s="29">
        <f t="shared" si="124"/>
        <v>9485.9645686964341</v>
      </c>
      <c r="V649" s="33" t="s">
        <v>569</v>
      </c>
    </row>
    <row r="650" spans="1:23" s="44" customFormat="1" ht="45" x14ac:dyDescent="0.25">
      <c r="A650" s="25">
        <v>7</v>
      </c>
      <c r="B650" s="37" t="s">
        <v>651</v>
      </c>
      <c r="C650" s="25" t="s">
        <v>43</v>
      </c>
      <c r="D650" s="25">
        <v>1968</v>
      </c>
      <c r="E650" s="27" t="s">
        <v>40</v>
      </c>
      <c r="F650" s="25" t="s">
        <v>320</v>
      </c>
      <c r="G650" s="28">
        <v>2</v>
      </c>
      <c r="H650" s="28">
        <v>2</v>
      </c>
      <c r="I650" s="29">
        <v>626.86</v>
      </c>
      <c r="J650" s="29">
        <v>626.86</v>
      </c>
      <c r="K650" s="29">
        <v>582.36</v>
      </c>
      <c r="L650" s="30">
        <v>26</v>
      </c>
      <c r="M650" s="31">
        <f t="shared" si="130"/>
        <v>6035750.5300000003</v>
      </c>
      <c r="N650" s="29">
        <v>0</v>
      </c>
      <c r="O650" s="29">
        <v>0</v>
      </c>
      <c r="P650" s="29">
        <v>0</v>
      </c>
      <c r="Q650" s="29">
        <f>'Таблица 3 '!C640</f>
        <v>6035750.5300000003</v>
      </c>
      <c r="R650" s="29">
        <f t="shared" si="131"/>
        <v>6035750.5300000003</v>
      </c>
      <c r="S650" s="29">
        <v>0</v>
      </c>
      <c r="T650" s="29">
        <f t="shared" si="123"/>
        <v>9628.5462942283757</v>
      </c>
      <c r="U650" s="29">
        <f t="shared" si="124"/>
        <v>9628.5462942283757</v>
      </c>
      <c r="V650" s="33" t="s">
        <v>569</v>
      </c>
    </row>
    <row r="651" spans="1:23" s="44" customFormat="1" ht="45" x14ac:dyDescent="0.25">
      <c r="A651" s="25">
        <v>8</v>
      </c>
      <c r="B651" s="37" t="s">
        <v>324</v>
      </c>
      <c r="C651" s="25" t="s">
        <v>43</v>
      </c>
      <c r="D651" s="25">
        <v>1991</v>
      </c>
      <c r="E651" s="27" t="s">
        <v>40</v>
      </c>
      <c r="F651" s="25" t="s">
        <v>77</v>
      </c>
      <c r="G651" s="28">
        <v>2</v>
      </c>
      <c r="H651" s="28">
        <v>3</v>
      </c>
      <c r="I651" s="29">
        <v>1054.43</v>
      </c>
      <c r="J651" s="29">
        <v>960.67</v>
      </c>
      <c r="K651" s="29">
        <v>960.67</v>
      </c>
      <c r="L651" s="30">
        <v>26</v>
      </c>
      <c r="M651" s="31">
        <f t="shared" si="130"/>
        <v>1561899.32</v>
      </c>
      <c r="N651" s="29">
        <v>0</v>
      </c>
      <c r="O651" s="29">
        <v>0</v>
      </c>
      <c r="P651" s="29">
        <v>0</v>
      </c>
      <c r="Q651" s="29">
        <f>'Таблица 3 '!C641</f>
        <v>1561899.32</v>
      </c>
      <c r="R651" s="29">
        <f t="shared" si="131"/>
        <v>1561899.32</v>
      </c>
      <c r="S651" s="29">
        <v>0</v>
      </c>
      <c r="T651" s="29">
        <f t="shared" si="123"/>
        <v>1625.8437548794072</v>
      </c>
      <c r="U651" s="29">
        <f t="shared" si="124"/>
        <v>1625.8437548794072</v>
      </c>
      <c r="V651" s="33" t="s">
        <v>569</v>
      </c>
    </row>
    <row r="652" spans="1:23" s="44" customFormat="1" ht="27" customHeight="1" x14ac:dyDescent="0.25">
      <c r="A652" s="322" t="s">
        <v>327</v>
      </c>
      <c r="B652" s="322"/>
      <c r="C652" s="18" t="s">
        <v>39</v>
      </c>
      <c r="D652" s="18" t="s">
        <v>39</v>
      </c>
      <c r="E652" s="19" t="s">
        <v>39</v>
      </c>
      <c r="F652" s="18" t="s">
        <v>39</v>
      </c>
      <c r="G652" s="20" t="s">
        <v>39</v>
      </c>
      <c r="H652" s="20" t="s">
        <v>39</v>
      </c>
      <c r="I652" s="60">
        <f t="shared" ref="I652:S652" si="132">SUM(I653:I661)</f>
        <v>19037.800000000003</v>
      </c>
      <c r="J652" s="60">
        <f t="shared" si="132"/>
        <v>15010.44</v>
      </c>
      <c r="K652" s="60">
        <f t="shared" si="132"/>
        <v>14530.240000000002</v>
      </c>
      <c r="L652" s="61">
        <f t="shared" si="132"/>
        <v>616</v>
      </c>
      <c r="M652" s="60">
        <f t="shared" si="132"/>
        <v>21549705.399999999</v>
      </c>
      <c r="N652" s="60">
        <f t="shared" si="132"/>
        <v>0</v>
      </c>
      <c r="O652" s="60">
        <f t="shared" si="132"/>
        <v>0</v>
      </c>
      <c r="P652" s="60">
        <f t="shared" si="132"/>
        <v>0</v>
      </c>
      <c r="Q652" s="60">
        <f t="shared" si="132"/>
        <v>21549705.399999999</v>
      </c>
      <c r="R652" s="60">
        <f t="shared" si="132"/>
        <v>21549705.399999999</v>
      </c>
      <c r="S652" s="60">
        <f t="shared" si="132"/>
        <v>0</v>
      </c>
      <c r="T652" s="24" t="s">
        <v>39</v>
      </c>
      <c r="U652" s="24" t="s">
        <v>39</v>
      </c>
      <c r="V652" s="62" t="s">
        <v>39</v>
      </c>
    </row>
    <row r="653" spans="1:23" s="44" customFormat="1" ht="45.75" customHeight="1" x14ac:dyDescent="0.25">
      <c r="A653" s="25">
        <v>1</v>
      </c>
      <c r="B653" s="37" t="s">
        <v>652</v>
      </c>
      <c r="C653" s="111" t="s">
        <v>43</v>
      </c>
      <c r="D653" s="25">
        <v>1965</v>
      </c>
      <c r="E653" s="112" t="s">
        <v>39</v>
      </c>
      <c r="F653" s="25" t="s">
        <v>77</v>
      </c>
      <c r="G653" s="113">
        <v>2</v>
      </c>
      <c r="H653" s="28">
        <v>2</v>
      </c>
      <c r="I653" s="114">
        <v>655.6</v>
      </c>
      <c r="J653" s="29">
        <v>613.5</v>
      </c>
      <c r="K653" s="114">
        <v>613.5</v>
      </c>
      <c r="L653" s="30">
        <v>22</v>
      </c>
      <c r="M653" s="114">
        <f t="shared" ref="M653:M661" si="133">SUM(N653:Q653)</f>
        <v>678812.35</v>
      </c>
      <c r="N653" s="29">
        <v>0</v>
      </c>
      <c r="O653" s="114">
        <v>0</v>
      </c>
      <c r="P653" s="29">
        <v>0</v>
      </c>
      <c r="Q653" s="29">
        <f>'Таблица 3 '!C643</f>
        <v>678812.35</v>
      </c>
      <c r="R653" s="29">
        <f t="shared" ref="R653:R661" si="134">Q653</f>
        <v>678812.35</v>
      </c>
      <c r="S653" s="114">
        <v>0</v>
      </c>
      <c r="T653" s="29">
        <f t="shared" si="123"/>
        <v>1106.4585982070089</v>
      </c>
      <c r="U653" s="114">
        <f t="shared" si="124"/>
        <v>1106.4585982070089</v>
      </c>
      <c r="V653" s="33" t="s">
        <v>569</v>
      </c>
    </row>
    <row r="654" spans="1:23" s="44" customFormat="1" ht="45.75" customHeight="1" x14ac:dyDescent="0.25">
      <c r="A654" s="25">
        <v>2</v>
      </c>
      <c r="B654" s="37" t="s">
        <v>331</v>
      </c>
      <c r="C654" s="25" t="s">
        <v>43</v>
      </c>
      <c r="D654" s="25">
        <v>1976</v>
      </c>
      <c r="E654" s="27" t="s">
        <v>39</v>
      </c>
      <c r="F654" s="25" t="s">
        <v>77</v>
      </c>
      <c r="G654" s="28">
        <v>2</v>
      </c>
      <c r="H654" s="28">
        <v>2</v>
      </c>
      <c r="I654" s="29">
        <v>1181.5999999999999</v>
      </c>
      <c r="J654" s="29">
        <v>736.7</v>
      </c>
      <c r="K654" s="29">
        <v>695.5</v>
      </c>
      <c r="L654" s="30">
        <v>26</v>
      </c>
      <c r="M654" s="31">
        <f t="shared" si="133"/>
        <v>2545081.46</v>
      </c>
      <c r="N654" s="29">
        <v>0</v>
      </c>
      <c r="O654" s="29">
        <v>0</v>
      </c>
      <c r="P654" s="29">
        <v>0</v>
      </c>
      <c r="Q654" s="29">
        <f>'Таблица 3 '!C644</f>
        <v>2545081.46</v>
      </c>
      <c r="R654" s="29">
        <f t="shared" si="134"/>
        <v>2545081.46</v>
      </c>
      <c r="S654" s="29">
        <v>0</v>
      </c>
      <c r="T654" s="29">
        <f t="shared" si="123"/>
        <v>3454.7053888964297</v>
      </c>
      <c r="U654" s="29">
        <f t="shared" ref="U654:U661" si="135">M654/J654</f>
        <v>3454.7053888964297</v>
      </c>
      <c r="V654" s="33" t="s">
        <v>569</v>
      </c>
    </row>
    <row r="655" spans="1:23" s="44" customFormat="1" ht="45.75" customHeight="1" x14ac:dyDescent="0.25">
      <c r="A655" s="25">
        <v>3</v>
      </c>
      <c r="B655" s="37" t="s">
        <v>653</v>
      </c>
      <c r="C655" s="111" t="s">
        <v>43</v>
      </c>
      <c r="D655" s="25">
        <v>1958</v>
      </c>
      <c r="E655" s="112" t="s">
        <v>39</v>
      </c>
      <c r="F655" s="25" t="s">
        <v>77</v>
      </c>
      <c r="G655" s="113">
        <v>2</v>
      </c>
      <c r="H655" s="28">
        <v>2</v>
      </c>
      <c r="I655" s="114">
        <v>856.3</v>
      </c>
      <c r="J655" s="29">
        <v>800.4</v>
      </c>
      <c r="K655" s="114">
        <v>800.4</v>
      </c>
      <c r="L655" s="30">
        <v>32</v>
      </c>
      <c r="M655" s="114">
        <f t="shared" si="133"/>
        <v>848569.45000000007</v>
      </c>
      <c r="N655" s="29">
        <v>0</v>
      </c>
      <c r="O655" s="114">
        <v>0</v>
      </c>
      <c r="P655" s="29">
        <v>0</v>
      </c>
      <c r="Q655" s="29">
        <f>'Таблица 3 '!C645</f>
        <v>848569.45000000007</v>
      </c>
      <c r="R655" s="29">
        <f t="shared" si="134"/>
        <v>848569.45000000007</v>
      </c>
      <c r="S655" s="114">
        <v>0</v>
      </c>
      <c r="T655" s="29">
        <f t="shared" si="123"/>
        <v>1060.1817216391805</v>
      </c>
      <c r="U655" s="114">
        <f t="shared" si="135"/>
        <v>1060.1817216391805</v>
      </c>
      <c r="V655" s="33" t="s">
        <v>569</v>
      </c>
    </row>
    <row r="656" spans="1:23" s="44" customFormat="1" ht="45" x14ac:dyDescent="0.25">
      <c r="A656" s="25">
        <v>4</v>
      </c>
      <c r="B656" s="37" t="s">
        <v>654</v>
      </c>
      <c r="C656" s="25" t="s">
        <v>43</v>
      </c>
      <c r="D656" s="25">
        <v>1963</v>
      </c>
      <c r="E656" s="27">
        <v>2024</v>
      </c>
      <c r="F656" s="25" t="s">
        <v>77</v>
      </c>
      <c r="G656" s="28">
        <v>2</v>
      </c>
      <c r="H656" s="28">
        <v>2</v>
      </c>
      <c r="I656" s="29">
        <v>893.9</v>
      </c>
      <c r="J656" s="29">
        <v>829.1</v>
      </c>
      <c r="K656" s="29">
        <v>829.1</v>
      </c>
      <c r="L656" s="30">
        <v>21</v>
      </c>
      <c r="M656" s="31">
        <f t="shared" si="133"/>
        <v>898334.45999999985</v>
      </c>
      <c r="N656" s="29">
        <v>0</v>
      </c>
      <c r="O656" s="29">
        <v>0</v>
      </c>
      <c r="P656" s="29">
        <v>0</v>
      </c>
      <c r="Q656" s="29">
        <f>'Таблица 3 '!C646</f>
        <v>898334.45999999985</v>
      </c>
      <c r="R656" s="29">
        <f t="shared" si="134"/>
        <v>898334.45999999985</v>
      </c>
      <c r="S656" s="29">
        <v>0</v>
      </c>
      <c r="T656" s="29">
        <f t="shared" si="123"/>
        <v>1083.5055602460498</v>
      </c>
      <c r="U656" s="29">
        <f>T656</f>
        <v>1083.5055602460498</v>
      </c>
      <c r="V656" s="33" t="s">
        <v>569</v>
      </c>
    </row>
    <row r="657" spans="1:22" s="44" customFormat="1" ht="45" x14ac:dyDescent="0.25">
      <c r="A657" s="25">
        <v>5</v>
      </c>
      <c r="B657" s="37" t="s">
        <v>655</v>
      </c>
      <c r="C657" s="25" t="s">
        <v>43</v>
      </c>
      <c r="D657" s="25">
        <v>1981</v>
      </c>
      <c r="E657" s="27" t="s">
        <v>39</v>
      </c>
      <c r="F657" s="25" t="s">
        <v>77</v>
      </c>
      <c r="G657" s="28">
        <v>3</v>
      </c>
      <c r="H657" s="28">
        <v>4</v>
      </c>
      <c r="I657" s="29">
        <v>2907.7</v>
      </c>
      <c r="J657" s="29">
        <v>2029.4</v>
      </c>
      <c r="K657" s="29">
        <v>1995.1</v>
      </c>
      <c r="L657" s="30">
        <v>112</v>
      </c>
      <c r="M657" s="31">
        <f t="shared" si="133"/>
        <v>10415854.960000001</v>
      </c>
      <c r="N657" s="29">
        <v>0</v>
      </c>
      <c r="O657" s="29">
        <v>0</v>
      </c>
      <c r="P657" s="29">
        <v>0</v>
      </c>
      <c r="Q657" s="29">
        <f>'Таблица 3 '!C647</f>
        <v>10415854.960000001</v>
      </c>
      <c r="R657" s="29">
        <f t="shared" si="134"/>
        <v>10415854.960000001</v>
      </c>
      <c r="S657" s="29">
        <v>0</v>
      </c>
      <c r="T657" s="29">
        <f t="shared" si="123"/>
        <v>5132.4800236523115</v>
      </c>
      <c r="U657" s="29">
        <f t="shared" si="135"/>
        <v>5132.4800236523115</v>
      </c>
      <c r="V657" s="33" t="s">
        <v>569</v>
      </c>
    </row>
    <row r="658" spans="1:22" s="44" customFormat="1" ht="45" x14ac:dyDescent="0.25">
      <c r="A658" s="25">
        <v>6</v>
      </c>
      <c r="B658" s="37" t="s">
        <v>656</v>
      </c>
      <c r="C658" s="25" t="s">
        <v>43</v>
      </c>
      <c r="D658" s="25">
        <v>1975</v>
      </c>
      <c r="E658" s="27" t="s">
        <v>39</v>
      </c>
      <c r="F658" s="25" t="s">
        <v>77</v>
      </c>
      <c r="G658" s="28">
        <v>5</v>
      </c>
      <c r="H658" s="28">
        <v>4</v>
      </c>
      <c r="I658" s="29">
        <v>2751.9</v>
      </c>
      <c r="J658" s="29">
        <v>2683.11</v>
      </c>
      <c r="K658" s="29">
        <v>2497.11</v>
      </c>
      <c r="L658" s="30">
        <v>136</v>
      </c>
      <c r="M658" s="31">
        <f t="shared" si="133"/>
        <v>700764</v>
      </c>
      <c r="N658" s="29">
        <v>0</v>
      </c>
      <c r="O658" s="29">
        <v>0</v>
      </c>
      <c r="P658" s="29">
        <v>0</v>
      </c>
      <c r="Q658" s="29">
        <f>'Таблица 3 '!C648</f>
        <v>700764</v>
      </c>
      <c r="R658" s="29">
        <f t="shared" si="134"/>
        <v>700764</v>
      </c>
      <c r="S658" s="29">
        <v>0</v>
      </c>
      <c r="T658" s="29">
        <f t="shared" si="123"/>
        <v>261.17602334604243</v>
      </c>
      <c r="U658" s="29">
        <f t="shared" si="135"/>
        <v>261.17602334604243</v>
      </c>
      <c r="V658" s="33" t="s">
        <v>569</v>
      </c>
    </row>
    <row r="659" spans="1:22" s="44" customFormat="1" ht="45" x14ac:dyDescent="0.25">
      <c r="A659" s="25">
        <v>7</v>
      </c>
      <c r="B659" s="37" t="s">
        <v>657</v>
      </c>
      <c r="C659" s="25" t="s">
        <v>43</v>
      </c>
      <c r="D659" s="25">
        <v>1988</v>
      </c>
      <c r="E659" s="27" t="s">
        <v>39</v>
      </c>
      <c r="F659" s="25" t="s">
        <v>77</v>
      </c>
      <c r="G659" s="28">
        <v>5</v>
      </c>
      <c r="H659" s="28">
        <v>8</v>
      </c>
      <c r="I659" s="29">
        <v>7760.4</v>
      </c>
      <c r="J659" s="29">
        <v>5417.33</v>
      </c>
      <c r="K659" s="29">
        <v>5255.03</v>
      </c>
      <c r="L659" s="30">
        <v>172</v>
      </c>
      <c r="M659" s="31">
        <f t="shared" si="133"/>
        <v>350382</v>
      </c>
      <c r="N659" s="29">
        <v>0</v>
      </c>
      <c r="O659" s="29">
        <v>0</v>
      </c>
      <c r="P659" s="29">
        <v>0</v>
      </c>
      <c r="Q659" s="29">
        <f>'Таблица 3 '!C649</f>
        <v>350382</v>
      </c>
      <c r="R659" s="29">
        <f t="shared" si="134"/>
        <v>350382</v>
      </c>
      <c r="S659" s="29">
        <v>0</v>
      </c>
      <c r="T659" s="29">
        <f t="shared" si="123"/>
        <v>64.677987126499588</v>
      </c>
      <c r="U659" s="29">
        <f t="shared" si="135"/>
        <v>64.677987126499588</v>
      </c>
      <c r="V659" s="33" t="s">
        <v>569</v>
      </c>
    </row>
    <row r="660" spans="1:22" s="44" customFormat="1" ht="45" x14ac:dyDescent="0.25">
      <c r="A660" s="25">
        <v>8</v>
      </c>
      <c r="B660" s="37" t="s">
        <v>658</v>
      </c>
      <c r="C660" s="25" t="s">
        <v>43</v>
      </c>
      <c r="D660" s="25">
        <v>1977</v>
      </c>
      <c r="E660" s="27" t="s">
        <v>39</v>
      </c>
      <c r="F660" s="25" t="s">
        <v>77</v>
      </c>
      <c r="G660" s="28">
        <v>2</v>
      </c>
      <c r="H660" s="28">
        <v>3</v>
      </c>
      <c r="I660" s="29">
        <v>885.9</v>
      </c>
      <c r="J660" s="29">
        <v>857.1</v>
      </c>
      <c r="K660" s="29">
        <v>857.1</v>
      </c>
      <c r="L660" s="30">
        <v>35</v>
      </c>
      <c r="M660" s="31">
        <f t="shared" si="133"/>
        <v>2801087.13</v>
      </c>
      <c r="N660" s="29">
        <v>0</v>
      </c>
      <c r="O660" s="29">
        <v>0</v>
      </c>
      <c r="P660" s="29">
        <v>0</v>
      </c>
      <c r="Q660" s="29">
        <f>'Таблица 3 '!C650</f>
        <v>2801087.13</v>
      </c>
      <c r="R660" s="29">
        <f t="shared" si="134"/>
        <v>2801087.13</v>
      </c>
      <c r="S660" s="29">
        <v>0</v>
      </c>
      <c r="T660" s="29">
        <f t="shared" si="123"/>
        <v>3268.0983899194957</v>
      </c>
      <c r="U660" s="29">
        <f t="shared" si="135"/>
        <v>3268.0983899194957</v>
      </c>
      <c r="V660" s="33" t="s">
        <v>569</v>
      </c>
    </row>
    <row r="661" spans="1:22" s="44" customFormat="1" ht="45" x14ac:dyDescent="0.25">
      <c r="A661" s="25">
        <v>9</v>
      </c>
      <c r="B661" s="38" t="s">
        <v>348</v>
      </c>
      <c r="C661" s="25" t="s">
        <v>43</v>
      </c>
      <c r="D661" s="25">
        <v>1980</v>
      </c>
      <c r="E661" s="27" t="s">
        <v>39</v>
      </c>
      <c r="F661" s="25" t="s">
        <v>77</v>
      </c>
      <c r="G661" s="28">
        <v>3</v>
      </c>
      <c r="H661" s="28">
        <v>3</v>
      </c>
      <c r="I661" s="29">
        <v>1144.5</v>
      </c>
      <c r="J661" s="29">
        <v>1043.8</v>
      </c>
      <c r="K661" s="29">
        <v>987.4</v>
      </c>
      <c r="L661" s="30">
        <v>60</v>
      </c>
      <c r="M661" s="31">
        <f t="shared" si="133"/>
        <v>2310819.59</v>
      </c>
      <c r="N661" s="29">
        <v>0</v>
      </c>
      <c r="O661" s="29">
        <v>0</v>
      </c>
      <c r="P661" s="29">
        <v>0</v>
      </c>
      <c r="Q661" s="29">
        <f>'Таблица 3 '!C651</f>
        <v>2310819.59</v>
      </c>
      <c r="R661" s="29">
        <f t="shared" si="134"/>
        <v>2310819.59</v>
      </c>
      <c r="S661" s="29">
        <v>0</v>
      </c>
      <c r="T661" s="29">
        <f t="shared" ref="T661:T724" si="136">M661/J661</f>
        <v>2213.8528357922974</v>
      </c>
      <c r="U661" s="29">
        <f t="shared" si="135"/>
        <v>2213.8528357922974</v>
      </c>
      <c r="V661" s="33" t="s">
        <v>569</v>
      </c>
    </row>
    <row r="662" spans="1:22" s="44" customFormat="1" ht="27" customHeight="1" x14ac:dyDescent="0.25">
      <c r="A662" s="322" t="s">
        <v>349</v>
      </c>
      <c r="B662" s="322"/>
      <c r="C662" s="18" t="s">
        <v>39</v>
      </c>
      <c r="D662" s="18" t="s">
        <v>39</v>
      </c>
      <c r="E662" s="19" t="s">
        <v>39</v>
      </c>
      <c r="F662" s="18" t="s">
        <v>39</v>
      </c>
      <c r="G662" s="20" t="s">
        <v>39</v>
      </c>
      <c r="H662" s="20" t="s">
        <v>39</v>
      </c>
      <c r="I662" s="60">
        <f t="shared" ref="I662:S662" si="137">SUM(I663:I666)</f>
        <v>4083.1</v>
      </c>
      <c r="J662" s="60">
        <f t="shared" si="137"/>
        <v>2609</v>
      </c>
      <c r="K662" s="60">
        <f t="shared" si="137"/>
        <v>2504.9</v>
      </c>
      <c r="L662" s="61">
        <f t="shared" si="137"/>
        <v>138</v>
      </c>
      <c r="M662" s="60">
        <f t="shared" si="137"/>
        <v>24627490.689999998</v>
      </c>
      <c r="N662" s="60">
        <f t="shared" si="137"/>
        <v>0</v>
      </c>
      <c r="O662" s="60">
        <f t="shared" si="137"/>
        <v>0</v>
      </c>
      <c r="P662" s="60">
        <f t="shared" si="137"/>
        <v>0</v>
      </c>
      <c r="Q662" s="60">
        <f t="shared" si="137"/>
        <v>24627490.689999998</v>
      </c>
      <c r="R662" s="60">
        <f t="shared" si="137"/>
        <v>24627490.689999998</v>
      </c>
      <c r="S662" s="60">
        <f t="shared" si="137"/>
        <v>0</v>
      </c>
      <c r="T662" s="24" t="s">
        <v>39</v>
      </c>
      <c r="U662" s="24" t="s">
        <v>39</v>
      </c>
      <c r="V662" s="59" t="s">
        <v>39</v>
      </c>
    </row>
    <row r="663" spans="1:22" s="44" customFormat="1" ht="42.75" customHeight="1" x14ac:dyDescent="0.25">
      <c r="A663" s="25">
        <v>1</v>
      </c>
      <c r="B663" s="37" t="s">
        <v>659</v>
      </c>
      <c r="C663" s="25" t="s">
        <v>43</v>
      </c>
      <c r="D663" s="25">
        <v>1976</v>
      </c>
      <c r="E663" s="27" t="s">
        <v>39</v>
      </c>
      <c r="F663" s="25" t="s">
        <v>77</v>
      </c>
      <c r="G663" s="28">
        <v>2</v>
      </c>
      <c r="H663" s="28">
        <v>2</v>
      </c>
      <c r="I663" s="29">
        <v>1229</v>
      </c>
      <c r="J663" s="29">
        <v>712.1</v>
      </c>
      <c r="K663" s="29">
        <v>638.5</v>
      </c>
      <c r="L663" s="30">
        <v>24</v>
      </c>
      <c r="M663" s="31">
        <f t="shared" ref="M663:M666" si="138">SUM(N663:Q663)</f>
        <v>6697452.25</v>
      </c>
      <c r="N663" s="29">
        <v>0</v>
      </c>
      <c r="O663" s="29">
        <v>0</v>
      </c>
      <c r="P663" s="29">
        <v>0</v>
      </c>
      <c r="Q663" s="29">
        <f>'Таблица 3 '!C653</f>
        <v>6697452.25</v>
      </c>
      <c r="R663" s="29">
        <f t="shared" ref="R663:R666" si="139">Q663</f>
        <v>6697452.25</v>
      </c>
      <c r="S663" s="29">
        <v>0</v>
      </c>
      <c r="T663" s="29">
        <f t="shared" si="136"/>
        <v>9405.2131020924026</v>
      </c>
      <c r="U663" s="29">
        <f t="shared" ref="U663:U726" si="140">T663</f>
        <v>9405.2131020924026</v>
      </c>
      <c r="V663" s="68" t="s">
        <v>569</v>
      </c>
    </row>
    <row r="664" spans="1:22" s="44" customFormat="1" ht="42.75" customHeight="1" x14ac:dyDescent="0.25">
      <c r="A664" s="25">
        <v>2</v>
      </c>
      <c r="B664" s="37" t="s">
        <v>660</v>
      </c>
      <c r="C664" s="25" t="s">
        <v>43</v>
      </c>
      <c r="D664" s="27" t="s">
        <v>109</v>
      </c>
      <c r="E664" s="27">
        <v>2021</v>
      </c>
      <c r="F664" s="25" t="s">
        <v>77</v>
      </c>
      <c r="G664" s="28">
        <v>2</v>
      </c>
      <c r="H664" s="28">
        <v>2</v>
      </c>
      <c r="I664" s="31">
        <v>994.1</v>
      </c>
      <c r="J664" s="31">
        <v>569.29999999999995</v>
      </c>
      <c r="K664" s="31">
        <v>569.29999999999995</v>
      </c>
      <c r="L664" s="30">
        <v>35</v>
      </c>
      <c r="M664" s="31">
        <f t="shared" si="138"/>
        <v>5407648.3499999996</v>
      </c>
      <c r="N664" s="29">
        <v>0</v>
      </c>
      <c r="O664" s="29">
        <v>0</v>
      </c>
      <c r="P664" s="29">
        <v>0</v>
      </c>
      <c r="Q664" s="29">
        <f>'Таблица 3 '!C654</f>
        <v>5407648.3499999996</v>
      </c>
      <c r="R664" s="29">
        <f t="shared" si="139"/>
        <v>5407648.3499999996</v>
      </c>
      <c r="S664" s="29">
        <v>0</v>
      </c>
      <c r="T664" s="29">
        <f t="shared" si="136"/>
        <v>9498.7675215176532</v>
      </c>
      <c r="U664" s="29">
        <f t="shared" si="140"/>
        <v>9498.7675215176532</v>
      </c>
      <c r="V664" s="68" t="s">
        <v>569</v>
      </c>
    </row>
    <row r="665" spans="1:22" s="44" customFormat="1" ht="42.75" customHeight="1" x14ac:dyDescent="0.25">
      <c r="A665" s="25">
        <v>3</v>
      </c>
      <c r="B665" s="37" t="s">
        <v>661</v>
      </c>
      <c r="C665" s="25" t="s">
        <v>43</v>
      </c>
      <c r="D665" s="25">
        <v>1979</v>
      </c>
      <c r="E665" s="27">
        <v>2021</v>
      </c>
      <c r="F665" s="25" t="s">
        <v>77</v>
      </c>
      <c r="G665" s="28">
        <v>2</v>
      </c>
      <c r="H665" s="28">
        <v>2</v>
      </c>
      <c r="I665" s="29">
        <v>1196</v>
      </c>
      <c r="J665" s="29">
        <v>749</v>
      </c>
      <c r="K665" s="29">
        <v>718.5</v>
      </c>
      <c r="L665" s="30">
        <v>51</v>
      </c>
      <c r="M665" s="31">
        <f t="shared" si="138"/>
        <v>7030741.9100000001</v>
      </c>
      <c r="N665" s="29">
        <v>0</v>
      </c>
      <c r="O665" s="29">
        <v>0</v>
      </c>
      <c r="P665" s="29">
        <v>0</v>
      </c>
      <c r="Q665" s="29">
        <f>'Таблица 3 '!C655</f>
        <v>7030741.9100000001</v>
      </c>
      <c r="R665" s="29">
        <f t="shared" si="139"/>
        <v>7030741.9100000001</v>
      </c>
      <c r="S665" s="29">
        <v>0</v>
      </c>
      <c r="T665" s="29">
        <f t="shared" si="136"/>
        <v>9386.8383311081452</v>
      </c>
      <c r="U665" s="29">
        <f t="shared" si="140"/>
        <v>9386.8383311081452</v>
      </c>
      <c r="V665" s="68" t="s">
        <v>569</v>
      </c>
    </row>
    <row r="666" spans="1:22" s="44" customFormat="1" ht="42.75" customHeight="1" x14ac:dyDescent="0.25">
      <c r="A666" s="25">
        <v>4</v>
      </c>
      <c r="B666" s="37" t="s">
        <v>662</v>
      </c>
      <c r="C666" s="25" t="s">
        <v>43</v>
      </c>
      <c r="D666" s="25">
        <v>1988</v>
      </c>
      <c r="E666" s="27" t="s">
        <v>39</v>
      </c>
      <c r="F666" s="25" t="s">
        <v>77</v>
      </c>
      <c r="G666" s="28">
        <v>2</v>
      </c>
      <c r="H666" s="28">
        <v>2</v>
      </c>
      <c r="I666" s="29">
        <v>664</v>
      </c>
      <c r="J666" s="29">
        <v>578.6</v>
      </c>
      <c r="K666" s="29">
        <v>578.6</v>
      </c>
      <c r="L666" s="30">
        <v>28</v>
      </c>
      <c r="M666" s="31">
        <f t="shared" si="138"/>
        <v>5491648.1799999997</v>
      </c>
      <c r="N666" s="29">
        <v>0</v>
      </c>
      <c r="O666" s="29">
        <v>0</v>
      </c>
      <c r="P666" s="29">
        <v>0</v>
      </c>
      <c r="Q666" s="29">
        <f>'Таблица 3 '!C656</f>
        <v>5491648.1799999997</v>
      </c>
      <c r="R666" s="29">
        <f t="shared" si="139"/>
        <v>5491648.1799999997</v>
      </c>
      <c r="S666" s="29">
        <v>0</v>
      </c>
      <c r="T666" s="29">
        <f t="shared" si="136"/>
        <v>9491.2688904251627</v>
      </c>
      <c r="U666" s="29">
        <f t="shared" si="140"/>
        <v>9491.2688904251627</v>
      </c>
      <c r="V666" s="68" t="s">
        <v>569</v>
      </c>
    </row>
    <row r="667" spans="1:22" s="23" customFormat="1" ht="23.45" customHeight="1" x14ac:dyDescent="0.2">
      <c r="A667" s="322" t="s">
        <v>351</v>
      </c>
      <c r="B667" s="322"/>
      <c r="C667" s="20" t="s">
        <v>40</v>
      </c>
      <c r="D667" s="20" t="s">
        <v>40</v>
      </c>
      <c r="E667" s="62" t="s">
        <v>40</v>
      </c>
      <c r="F667" s="20" t="s">
        <v>40</v>
      </c>
      <c r="G667" s="20" t="s">
        <v>40</v>
      </c>
      <c r="H667" s="20" t="s">
        <v>40</v>
      </c>
      <c r="I667" s="66">
        <f t="shared" ref="I667:S667" si="141">SUM(I668:I673)</f>
        <v>16337.7</v>
      </c>
      <c r="J667" s="66">
        <f t="shared" si="141"/>
        <v>14930.099999999999</v>
      </c>
      <c r="K667" s="66">
        <f t="shared" si="141"/>
        <v>13358.899999999998</v>
      </c>
      <c r="L667" s="67">
        <f t="shared" si="141"/>
        <v>464</v>
      </c>
      <c r="M667" s="66">
        <f t="shared" si="141"/>
        <v>49733577.299999997</v>
      </c>
      <c r="N667" s="66">
        <f t="shared" si="141"/>
        <v>0</v>
      </c>
      <c r="O667" s="66">
        <f t="shared" si="141"/>
        <v>0</v>
      </c>
      <c r="P667" s="66">
        <f t="shared" si="141"/>
        <v>0</v>
      </c>
      <c r="Q667" s="66">
        <f t="shared" si="141"/>
        <v>49733577.299999997</v>
      </c>
      <c r="R667" s="66">
        <f t="shared" si="141"/>
        <v>49733577.299999997</v>
      </c>
      <c r="S667" s="66">
        <f t="shared" si="141"/>
        <v>0</v>
      </c>
      <c r="T667" s="24" t="s">
        <v>40</v>
      </c>
      <c r="U667" s="24" t="s">
        <v>40</v>
      </c>
      <c r="V667" s="20" t="s">
        <v>40</v>
      </c>
    </row>
    <row r="668" spans="1:22" s="44" customFormat="1" ht="45" customHeight="1" x14ac:dyDescent="0.25">
      <c r="A668" s="28">
        <v>1</v>
      </c>
      <c r="B668" s="70" t="s">
        <v>354</v>
      </c>
      <c r="C668" s="25" t="s">
        <v>43</v>
      </c>
      <c r="D668" s="28">
        <v>1987</v>
      </c>
      <c r="E668" s="63" t="s">
        <v>39</v>
      </c>
      <c r="F668" s="25" t="s">
        <v>77</v>
      </c>
      <c r="G668" s="28">
        <v>3</v>
      </c>
      <c r="H668" s="28">
        <v>1</v>
      </c>
      <c r="I668" s="29">
        <v>557.4</v>
      </c>
      <c r="J668" s="29">
        <v>495.4</v>
      </c>
      <c r="K668" s="29">
        <v>495.4</v>
      </c>
      <c r="L668" s="30">
        <v>14</v>
      </c>
      <c r="M668" s="31">
        <f t="shared" ref="M668:M673" si="142">SUM(N668:Q668)</f>
        <v>1214796.1099999999</v>
      </c>
      <c r="N668" s="31">
        <v>0</v>
      </c>
      <c r="O668" s="31">
        <v>0</v>
      </c>
      <c r="P668" s="31">
        <v>0</v>
      </c>
      <c r="Q668" s="31">
        <f>'Таблица 3 '!C658</f>
        <v>1214796.1099999999</v>
      </c>
      <c r="R668" s="29">
        <f t="shared" ref="R668:R673" si="143">Q668</f>
        <v>1214796.1099999999</v>
      </c>
      <c r="S668" s="29">
        <v>0</v>
      </c>
      <c r="T668" s="29">
        <f t="shared" si="136"/>
        <v>2452.1520185708519</v>
      </c>
      <c r="U668" s="29">
        <f t="shared" si="140"/>
        <v>2452.1520185708519</v>
      </c>
      <c r="V668" s="33" t="s">
        <v>569</v>
      </c>
    </row>
    <row r="669" spans="1:22" s="44" customFormat="1" ht="45" customHeight="1" x14ac:dyDescent="0.25">
      <c r="A669" s="28">
        <v>2</v>
      </c>
      <c r="B669" s="70" t="s">
        <v>663</v>
      </c>
      <c r="C669" s="25" t="s">
        <v>43</v>
      </c>
      <c r="D669" s="28">
        <v>1991</v>
      </c>
      <c r="E669" s="63" t="s">
        <v>39</v>
      </c>
      <c r="F669" s="25" t="s">
        <v>77</v>
      </c>
      <c r="G669" s="28">
        <v>5</v>
      </c>
      <c r="H669" s="28">
        <v>6</v>
      </c>
      <c r="I669" s="29">
        <v>5061.3</v>
      </c>
      <c r="J669" s="29">
        <v>4691</v>
      </c>
      <c r="K669" s="29">
        <v>4201.3999999999996</v>
      </c>
      <c r="L669" s="30">
        <v>117</v>
      </c>
      <c r="M669" s="31">
        <f t="shared" si="142"/>
        <v>24929588.640000001</v>
      </c>
      <c r="N669" s="31">
        <v>0</v>
      </c>
      <c r="O669" s="31">
        <v>0</v>
      </c>
      <c r="P669" s="31">
        <v>0</v>
      </c>
      <c r="Q669" s="31">
        <f>'Таблица 3 '!C659</f>
        <v>24929588.640000001</v>
      </c>
      <c r="R669" s="29">
        <f t="shared" si="143"/>
        <v>24929588.640000001</v>
      </c>
      <c r="S669" s="29">
        <v>0</v>
      </c>
      <c r="T669" s="29">
        <f t="shared" si="136"/>
        <v>5314.3441995310168</v>
      </c>
      <c r="U669" s="29">
        <f t="shared" si="140"/>
        <v>5314.3441995310168</v>
      </c>
      <c r="V669" s="33" t="s">
        <v>569</v>
      </c>
    </row>
    <row r="670" spans="1:22" s="44" customFormat="1" ht="45" customHeight="1" x14ac:dyDescent="0.25">
      <c r="A670" s="28">
        <v>3</v>
      </c>
      <c r="B670" s="70" t="s">
        <v>354</v>
      </c>
      <c r="C670" s="25" t="s">
        <v>43</v>
      </c>
      <c r="D670" s="28">
        <v>1994</v>
      </c>
      <c r="E670" s="63">
        <v>2023</v>
      </c>
      <c r="F670" s="25" t="s">
        <v>77</v>
      </c>
      <c r="G670" s="28">
        <v>5</v>
      </c>
      <c r="H670" s="28">
        <v>6</v>
      </c>
      <c r="I670" s="29">
        <v>4739</v>
      </c>
      <c r="J670" s="29">
        <v>4196.2</v>
      </c>
      <c r="K670" s="29">
        <v>4027.3</v>
      </c>
      <c r="L670" s="30">
        <v>152</v>
      </c>
      <c r="M670" s="31">
        <f t="shared" si="142"/>
        <v>6394852.0100000007</v>
      </c>
      <c r="N670" s="31">
        <v>0</v>
      </c>
      <c r="O670" s="31">
        <v>0</v>
      </c>
      <c r="P670" s="31">
        <v>0</v>
      </c>
      <c r="Q670" s="31">
        <f>'Таблица 3 '!C660</f>
        <v>6394852.0100000007</v>
      </c>
      <c r="R670" s="29">
        <f t="shared" si="143"/>
        <v>6394852.0100000007</v>
      </c>
      <c r="S670" s="29">
        <v>0</v>
      </c>
      <c r="T670" s="29">
        <f t="shared" si="136"/>
        <v>1523.9626352414091</v>
      </c>
      <c r="U670" s="29">
        <f t="shared" si="140"/>
        <v>1523.9626352414091</v>
      </c>
      <c r="V670" s="33" t="s">
        <v>569</v>
      </c>
    </row>
    <row r="671" spans="1:22" s="44" customFormat="1" ht="45" customHeight="1" x14ac:dyDescent="0.25">
      <c r="A671" s="28">
        <v>4</v>
      </c>
      <c r="B671" s="70" t="s">
        <v>356</v>
      </c>
      <c r="C671" s="25" t="s">
        <v>43</v>
      </c>
      <c r="D671" s="28">
        <v>1974</v>
      </c>
      <c r="E671" s="63" t="s">
        <v>40</v>
      </c>
      <c r="F671" s="25" t="s">
        <v>77</v>
      </c>
      <c r="G671" s="28">
        <v>2</v>
      </c>
      <c r="H671" s="28">
        <v>2</v>
      </c>
      <c r="I671" s="29">
        <v>782</v>
      </c>
      <c r="J671" s="29">
        <v>726.3</v>
      </c>
      <c r="K671" s="29">
        <v>685.8</v>
      </c>
      <c r="L671" s="30">
        <v>29</v>
      </c>
      <c r="M671" s="31">
        <f t="shared" si="142"/>
        <v>2155053.39</v>
      </c>
      <c r="N671" s="31">
        <v>0</v>
      </c>
      <c r="O671" s="31">
        <v>0</v>
      </c>
      <c r="P671" s="31">
        <v>0</v>
      </c>
      <c r="Q671" s="31">
        <f>'Таблица 3 '!C661</f>
        <v>2155053.39</v>
      </c>
      <c r="R671" s="29">
        <f t="shared" si="143"/>
        <v>2155053.39</v>
      </c>
      <c r="S671" s="29">
        <v>0</v>
      </c>
      <c r="T671" s="29">
        <f t="shared" si="136"/>
        <v>2967.166997108633</v>
      </c>
      <c r="U671" s="29">
        <f t="shared" si="140"/>
        <v>2967.166997108633</v>
      </c>
      <c r="V671" s="33" t="s">
        <v>569</v>
      </c>
    </row>
    <row r="672" spans="1:22" s="44" customFormat="1" ht="45" customHeight="1" x14ac:dyDescent="0.25">
      <c r="A672" s="28">
        <v>5</v>
      </c>
      <c r="B672" s="70" t="s">
        <v>356</v>
      </c>
      <c r="C672" s="25" t="s">
        <v>43</v>
      </c>
      <c r="D672" s="28">
        <v>1976</v>
      </c>
      <c r="E672" s="63" t="s">
        <v>40</v>
      </c>
      <c r="F672" s="25" t="s">
        <v>77</v>
      </c>
      <c r="G672" s="28">
        <v>2</v>
      </c>
      <c r="H672" s="28">
        <v>2</v>
      </c>
      <c r="I672" s="29">
        <v>970.4</v>
      </c>
      <c r="J672" s="29">
        <v>526.9</v>
      </c>
      <c r="K672" s="29">
        <v>526.9</v>
      </c>
      <c r="L672" s="30">
        <v>17</v>
      </c>
      <c r="M672" s="31">
        <f t="shared" si="142"/>
        <v>2153151.21</v>
      </c>
      <c r="N672" s="31">
        <v>0</v>
      </c>
      <c r="O672" s="31">
        <v>0</v>
      </c>
      <c r="P672" s="31">
        <v>0</v>
      </c>
      <c r="Q672" s="31">
        <f>'Таблица 3 '!C662</f>
        <v>2153151.21</v>
      </c>
      <c r="R672" s="29">
        <f t="shared" si="143"/>
        <v>2153151.21</v>
      </c>
      <c r="S672" s="29">
        <v>0</v>
      </c>
      <c r="T672" s="29">
        <f t="shared" si="136"/>
        <v>4086.4513380148037</v>
      </c>
      <c r="U672" s="29">
        <f t="shared" si="140"/>
        <v>4086.4513380148037</v>
      </c>
      <c r="V672" s="33" t="s">
        <v>569</v>
      </c>
    </row>
    <row r="673" spans="1:22" s="44" customFormat="1" ht="45" customHeight="1" x14ac:dyDescent="0.25">
      <c r="A673" s="28">
        <v>6</v>
      </c>
      <c r="B673" s="37" t="s">
        <v>357</v>
      </c>
      <c r="C673" s="25" t="s">
        <v>43</v>
      </c>
      <c r="D673" s="28">
        <v>1995</v>
      </c>
      <c r="E673" s="63">
        <v>2023</v>
      </c>
      <c r="F673" s="25" t="s">
        <v>77</v>
      </c>
      <c r="G673" s="28">
        <v>5</v>
      </c>
      <c r="H673" s="28">
        <v>5</v>
      </c>
      <c r="I673" s="29">
        <v>4227.6000000000004</v>
      </c>
      <c r="J673" s="29">
        <v>4294.3</v>
      </c>
      <c r="K673" s="29">
        <v>3422.1</v>
      </c>
      <c r="L673" s="30">
        <v>135</v>
      </c>
      <c r="M673" s="31">
        <f t="shared" si="142"/>
        <v>12886135.939999999</v>
      </c>
      <c r="N673" s="31">
        <v>0</v>
      </c>
      <c r="O673" s="31">
        <v>0</v>
      </c>
      <c r="P673" s="31">
        <v>0</v>
      </c>
      <c r="Q673" s="31">
        <f>'Таблица 3 '!C663</f>
        <v>12886135.939999999</v>
      </c>
      <c r="R673" s="29">
        <f t="shared" si="143"/>
        <v>12886135.939999999</v>
      </c>
      <c r="S673" s="29">
        <v>0</v>
      </c>
      <c r="T673" s="29">
        <f t="shared" si="136"/>
        <v>3000.753543068719</v>
      </c>
      <c r="U673" s="29">
        <f t="shared" si="140"/>
        <v>3000.753543068719</v>
      </c>
      <c r="V673" s="33" t="s">
        <v>569</v>
      </c>
    </row>
    <row r="674" spans="1:22" s="23" customFormat="1" ht="25.9" customHeight="1" x14ac:dyDescent="0.2">
      <c r="A674" s="322" t="s">
        <v>360</v>
      </c>
      <c r="B674" s="322"/>
      <c r="C674" s="20" t="s">
        <v>39</v>
      </c>
      <c r="D674" s="20" t="s">
        <v>39</v>
      </c>
      <c r="E674" s="62" t="s">
        <v>39</v>
      </c>
      <c r="F674" s="20" t="s">
        <v>39</v>
      </c>
      <c r="G674" s="20" t="s">
        <v>39</v>
      </c>
      <c r="H674" s="20" t="s">
        <v>39</v>
      </c>
      <c r="I674" s="60">
        <f t="shared" ref="I674:S674" si="144">SUM(I675:I677)</f>
        <v>4592.7999999999993</v>
      </c>
      <c r="J674" s="60">
        <f t="shared" si="144"/>
        <v>4148.2</v>
      </c>
      <c r="K674" s="60">
        <f t="shared" si="144"/>
        <v>4124.7</v>
      </c>
      <c r="L674" s="61">
        <f t="shared" si="144"/>
        <v>142</v>
      </c>
      <c r="M674" s="60">
        <f t="shared" si="144"/>
        <v>15570337.899999999</v>
      </c>
      <c r="N674" s="60">
        <f t="shared" si="144"/>
        <v>0</v>
      </c>
      <c r="O674" s="60">
        <f t="shared" si="144"/>
        <v>0</v>
      </c>
      <c r="P674" s="60">
        <f t="shared" si="144"/>
        <v>0</v>
      </c>
      <c r="Q674" s="60">
        <f t="shared" si="144"/>
        <v>15570337.899999999</v>
      </c>
      <c r="R674" s="60">
        <f t="shared" si="144"/>
        <v>15570337.899999999</v>
      </c>
      <c r="S674" s="60">
        <f t="shared" si="144"/>
        <v>0</v>
      </c>
      <c r="T674" s="24" t="s">
        <v>39</v>
      </c>
      <c r="U674" s="24" t="s">
        <v>39</v>
      </c>
      <c r="V674" s="62" t="s">
        <v>39</v>
      </c>
    </row>
    <row r="675" spans="1:22" s="44" customFormat="1" ht="43.9" customHeight="1" x14ac:dyDescent="0.25">
      <c r="A675" s="28">
        <v>1</v>
      </c>
      <c r="B675" s="71" t="s">
        <v>361</v>
      </c>
      <c r="C675" s="25" t="s">
        <v>43</v>
      </c>
      <c r="D675" s="25">
        <v>1989</v>
      </c>
      <c r="E675" s="27" t="s">
        <v>40</v>
      </c>
      <c r="F675" s="25" t="s">
        <v>48</v>
      </c>
      <c r="G675" s="28">
        <v>2</v>
      </c>
      <c r="H675" s="28">
        <v>3</v>
      </c>
      <c r="I675" s="29">
        <v>3689</v>
      </c>
      <c r="J675" s="29">
        <v>3331.5</v>
      </c>
      <c r="K675" s="29">
        <v>3308</v>
      </c>
      <c r="L675" s="30">
        <v>105</v>
      </c>
      <c r="M675" s="31">
        <f t="shared" ref="M675:M677" si="145">SUM(N675:Q675)</f>
        <v>9600553.5700000003</v>
      </c>
      <c r="N675" s="29">
        <v>0</v>
      </c>
      <c r="O675" s="29">
        <v>0</v>
      </c>
      <c r="P675" s="29">
        <v>0</v>
      </c>
      <c r="Q675" s="29">
        <f>'Таблица 3 '!C665</f>
        <v>9600553.5700000003</v>
      </c>
      <c r="R675" s="29">
        <f t="shared" ref="R675:R677" si="146">Q675</f>
        <v>9600553.5700000003</v>
      </c>
      <c r="S675" s="29">
        <v>0</v>
      </c>
      <c r="T675" s="29">
        <f t="shared" si="136"/>
        <v>2881.7510340687377</v>
      </c>
      <c r="U675" s="29">
        <f t="shared" si="140"/>
        <v>2881.7510340687377</v>
      </c>
      <c r="V675" s="33" t="s">
        <v>569</v>
      </c>
    </row>
    <row r="676" spans="1:22" s="44" customFormat="1" ht="43.9" customHeight="1" x14ac:dyDescent="0.25">
      <c r="A676" s="28">
        <v>2</v>
      </c>
      <c r="B676" s="71" t="s">
        <v>664</v>
      </c>
      <c r="C676" s="25" t="s">
        <v>43</v>
      </c>
      <c r="D676" s="25">
        <v>1989</v>
      </c>
      <c r="E676" s="27" t="s">
        <v>39</v>
      </c>
      <c r="F676" s="25" t="s">
        <v>514</v>
      </c>
      <c r="G676" s="28">
        <v>2</v>
      </c>
      <c r="H676" s="28">
        <v>2</v>
      </c>
      <c r="I676" s="29">
        <v>420.4</v>
      </c>
      <c r="J676" s="29">
        <v>406</v>
      </c>
      <c r="K676" s="29">
        <v>406</v>
      </c>
      <c r="L676" s="30">
        <v>21</v>
      </c>
      <c r="M676" s="31">
        <f t="shared" si="145"/>
        <v>1091432.03</v>
      </c>
      <c r="N676" s="29">
        <v>0</v>
      </c>
      <c r="O676" s="29">
        <v>0</v>
      </c>
      <c r="P676" s="29">
        <v>0</v>
      </c>
      <c r="Q676" s="29">
        <f>'Таблица 3 '!C666</f>
        <v>1091432.03</v>
      </c>
      <c r="R676" s="29">
        <f t="shared" si="146"/>
        <v>1091432.03</v>
      </c>
      <c r="S676" s="29">
        <v>0</v>
      </c>
      <c r="T676" s="29">
        <f t="shared" si="136"/>
        <v>2688.2562315270939</v>
      </c>
      <c r="U676" s="29">
        <f t="shared" si="140"/>
        <v>2688.2562315270939</v>
      </c>
      <c r="V676" s="33" t="s">
        <v>569</v>
      </c>
    </row>
    <row r="677" spans="1:22" s="44" customFormat="1" ht="43.9" customHeight="1" x14ac:dyDescent="0.25">
      <c r="A677" s="28">
        <v>3</v>
      </c>
      <c r="B677" s="71" t="s">
        <v>665</v>
      </c>
      <c r="C677" s="25" t="s">
        <v>43</v>
      </c>
      <c r="D677" s="28">
        <v>1991</v>
      </c>
      <c r="E677" s="63">
        <v>2024</v>
      </c>
      <c r="F677" s="28" t="s">
        <v>514</v>
      </c>
      <c r="G677" s="28">
        <v>2</v>
      </c>
      <c r="H677" s="28">
        <v>2</v>
      </c>
      <c r="I677" s="29">
        <v>483.4</v>
      </c>
      <c r="J677" s="29">
        <v>410.7</v>
      </c>
      <c r="K677" s="29">
        <v>410.7</v>
      </c>
      <c r="L677" s="30">
        <v>16</v>
      </c>
      <c r="M677" s="31">
        <f t="shared" si="145"/>
        <v>4878352.3</v>
      </c>
      <c r="N677" s="29">
        <v>0</v>
      </c>
      <c r="O677" s="29">
        <v>0</v>
      </c>
      <c r="P677" s="29">
        <v>0</v>
      </c>
      <c r="Q677" s="29">
        <f>'Таблица 3 '!C667</f>
        <v>4878352.3</v>
      </c>
      <c r="R677" s="29">
        <f t="shared" si="146"/>
        <v>4878352.3</v>
      </c>
      <c r="S677" s="29">
        <v>0</v>
      </c>
      <c r="T677" s="29">
        <f t="shared" si="136"/>
        <v>11878.140491843194</v>
      </c>
      <c r="U677" s="29">
        <f t="shared" si="140"/>
        <v>11878.140491843194</v>
      </c>
      <c r="V677" s="33" t="s">
        <v>569</v>
      </c>
    </row>
    <row r="678" spans="1:22" s="23" customFormat="1" ht="24.75" customHeight="1" x14ac:dyDescent="0.2">
      <c r="A678" s="326" t="s">
        <v>666</v>
      </c>
      <c r="B678" s="326"/>
      <c r="C678" s="18" t="s">
        <v>39</v>
      </c>
      <c r="D678" s="18" t="s">
        <v>39</v>
      </c>
      <c r="E678" s="19" t="s">
        <v>39</v>
      </c>
      <c r="F678" s="18" t="s">
        <v>39</v>
      </c>
      <c r="G678" s="20" t="s">
        <v>39</v>
      </c>
      <c r="H678" s="20" t="s">
        <v>39</v>
      </c>
      <c r="I678" s="115">
        <f t="shared" ref="I678:S678" si="147">SUM(I679:I680)</f>
        <v>1148.3</v>
      </c>
      <c r="J678" s="115">
        <f t="shared" si="147"/>
        <v>1111.92</v>
      </c>
      <c r="K678" s="115">
        <f t="shared" si="147"/>
        <v>1068.02</v>
      </c>
      <c r="L678" s="116">
        <f t="shared" si="147"/>
        <v>60</v>
      </c>
      <c r="M678" s="115">
        <f t="shared" si="147"/>
        <v>1522073.68</v>
      </c>
      <c r="N678" s="115">
        <f t="shared" si="147"/>
        <v>0</v>
      </c>
      <c r="O678" s="115">
        <f t="shared" si="147"/>
        <v>0</v>
      </c>
      <c r="P678" s="115">
        <f t="shared" si="147"/>
        <v>0</v>
      </c>
      <c r="Q678" s="115">
        <f t="shared" si="147"/>
        <v>1522073.68</v>
      </c>
      <c r="R678" s="115">
        <f t="shared" si="147"/>
        <v>1522073.68</v>
      </c>
      <c r="S678" s="115">
        <f t="shared" si="147"/>
        <v>0</v>
      </c>
      <c r="T678" s="24" t="s">
        <v>39</v>
      </c>
      <c r="U678" s="24" t="s">
        <v>39</v>
      </c>
      <c r="V678" s="20" t="s">
        <v>39</v>
      </c>
    </row>
    <row r="679" spans="1:22" s="44" customFormat="1" ht="45" x14ac:dyDescent="0.25">
      <c r="A679" s="25">
        <v>1</v>
      </c>
      <c r="B679" s="26" t="s">
        <v>667</v>
      </c>
      <c r="C679" s="25" t="s">
        <v>43</v>
      </c>
      <c r="D679" s="27" t="s">
        <v>195</v>
      </c>
      <c r="E679" s="19" t="s">
        <v>39</v>
      </c>
      <c r="F679" s="25" t="s">
        <v>77</v>
      </c>
      <c r="G679" s="28">
        <v>2</v>
      </c>
      <c r="H679" s="28">
        <v>2</v>
      </c>
      <c r="I679" s="42">
        <v>417.3</v>
      </c>
      <c r="J679" s="29">
        <v>417.3</v>
      </c>
      <c r="K679" s="29">
        <v>373.4</v>
      </c>
      <c r="L679" s="43">
        <v>22</v>
      </c>
      <c r="M679" s="31">
        <f t="shared" ref="M679:M680" si="148">SUM(N679:Q679)</f>
        <v>841431.03</v>
      </c>
      <c r="N679" s="29">
        <v>0</v>
      </c>
      <c r="O679" s="29">
        <v>0</v>
      </c>
      <c r="P679" s="29">
        <v>0</v>
      </c>
      <c r="Q679" s="29">
        <f>'Таблица 3 '!C669</f>
        <v>841431.03</v>
      </c>
      <c r="R679" s="29">
        <f t="shared" ref="R679:R680" si="149">Q679</f>
        <v>841431.03</v>
      </c>
      <c r="S679" s="29">
        <v>0</v>
      </c>
      <c r="T679" s="29">
        <f t="shared" si="136"/>
        <v>2016.3695902228612</v>
      </c>
      <c r="U679" s="29">
        <f t="shared" si="140"/>
        <v>2016.3695902228612</v>
      </c>
      <c r="V679" s="33" t="s">
        <v>569</v>
      </c>
    </row>
    <row r="680" spans="1:22" s="44" customFormat="1" ht="45" x14ac:dyDescent="0.25">
      <c r="A680" s="25">
        <v>2</v>
      </c>
      <c r="B680" s="26" t="s">
        <v>668</v>
      </c>
      <c r="C680" s="25" t="s">
        <v>43</v>
      </c>
      <c r="D680" s="27" t="s">
        <v>83</v>
      </c>
      <c r="E680" s="19" t="s">
        <v>39</v>
      </c>
      <c r="F680" s="25" t="s">
        <v>77</v>
      </c>
      <c r="G680" s="28">
        <v>2</v>
      </c>
      <c r="H680" s="28">
        <v>2</v>
      </c>
      <c r="I680" s="42">
        <v>731</v>
      </c>
      <c r="J680" s="29">
        <v>694.62</v>
      </c>
      <c r="K680" s="29">
        <v>694.62</v>
      </c>
      <c r="L680" s="43">
        <v>38</v>
      </c>
      <c r="M680" s="31">
        <f t="shared" si="148"/>
        <v>680642.64999999991</v>
      </c>
      <c r="N680" s="29">
        <v>0</v>
      </c>
      <c r="O680" s="29">
        <v>0</v>
      </c>
      <c r="P680" s="29">
        <v>0</v>
      </c>
      <c r="Q680" s="29">
        <f>'Таблица 3 '!C670</f>
        <v>680642.64999999991</v>
      </c>
      <c r="R680" s="29">
        <f t="shared" si="149"/>
        <v>680642.64999999991</v>
      </c>
      <c r="S680" s="29">
        <v>0</v>
      </c>
      <c r="T680" s="29">
        <f t="shared" si="136"/>
        <v>979.87770291670256</v>
      </c>
      <c r="U680" s="29">
        <f t="shared" si="140"/>
        <v>979.87770291670256</v>
      </c>
      <c r="V680" s="33" t="s">
        <v>569</v>
      </c>
    </row>
    <row r="681" spans="1:22" s="44" customFormat="1" ht="27" customHeight="1" x14ac:dyDescent="0.25">
      <c r="A681" s="326" t="s">
        <v>363</v>
      </c>
      <c r="B681" s="326"/>
      <c r="C681" s="18" t="s">
        <v>39</v>
      </c>
      <c r="D681" s="18" t="s">
        <v>39</v>
      </c>
      <c r="E681" s="19" t="s">
        <v>39</v>
      </c>
      <c r="F681" s="18" t="s">
        <v>39</v>
      </c>
      <c r="G681" s="18" t="s">
        <v>39</v>
      </c>
      <c r="H681" s="18" t="s">
        <v>39</v>
      </c>
      <c r="I681" s="115">
        <f t="shared" ref="I681:S681" si="150">SUM(I682:I696)</f>
        <v>45650.28</v>
      </c>
      <c r="J681" s="115">
        <f t="shared" si="150"/>
        <v>37844.040000000008</v>
      </c>
      <c r="K681" s="115">
        <f t="shared" si="150"/>
        <v>22010.78</v>
      </c>
      <c r="L681" s="116">
        <f t="shared" si="150"/>
        <v>1185</v>
      </c>
      <c r="M681" s="115">
        <f t="shared" si="150"/>
        <v>144194620.63999999</v>
      </c>
      <c r="N681" s="115">
        <f t="shared" si="150"/>
        <v>0</v>
      </c>
      <c r="O681" s="115">
        <f t="shared" si="150"/>
        <v>0</v>
      </c>
      <c r="P681" s="115">
        <f t="shared" si="150"/>
        <v>0</v>
      </c>
      <c r="Q681" s="115">
        <f t="shared" si="150"/>
        <v>144194620.63999999</v>
      </c>
      <c r="R681" s="115">
        <f t="shared" si="150"/>
        <v>144194620.63999999</v>
      </c>
      <c r="S681" s="115">
        <f t="shared" si="150"/>
        <v>0</v>
      </c>
      <c r="T681" s="58" t="s">
        <v>39</v>
      </c>
      <c r="U681" s="24" t="s">
        <v>39</v>
      </c>
      <c r="V681" s="20" t="s">
        <v>39</v>
      </c>
    </row>
    <row r="682" spans="1:22" s="44" customFormat="1" ht="45" x14ac:dyDescent="0.25">
      <c r="A682" s="28">
        <v>1</v>
      </c>
      <c r="B682" s="64" t="s">
        <v>669</v>
      </c>
      <c r="C682" s="25" t="s">
        <v>43</v>
      </c>
      <c r="D682" s="27" t="s">
        <v>93</v>
      </c>
      <c r="E682" s="63">
        <v>2018</v>
      </c>
      <c r="F682" s="25" t="s">
        <v>77</v>
      </c>
      <c r="G682" s="28">
        <v>4</v>
      </c>
      <c r="H682" s="28">
        <v>3</v>
      </c>
      <c r="I682" s="42">
        <v>2597</v>
      </c>
      <c r="J682" s="29">
        <v>2402.8200000000002</v>
      </c>
      <c r="K682" s="29">
        <v>2402.8200000000002</v>
      </c>
      <c r="L682" s="30">
        <v>61</v>
      </c>
      <c r="M682" s="31">
        <f t="shared" ref="M682:M696" si="151">SUM(N682:Q682)</f>
        <v>10914733.879999999</v>
      </c>
      <c r="N682" s="29">
        <v>0</v>
      </c>
      <c r="O682" s="29">
        <v>0</v>
      </c>
      <c r="P682" s="29">
        <v>0</v>
      </c>
      <c r="Q682" s="42">
        <f>'Таблица 3 '!C672</f>
        <v>10914733.879999999</v>
      </c>
      <c r="R682" s="42">
        <f t="shared" ref="R682:R696" si="152">Q682</f>
        <v>10914733.879999999</v>
      </c>
      <c r="S682" s="29">
        <v>0</v>
      </c>
      <c r="T682" s="29">
        <f t="shared" si="136"/>
        <v>4542.4683829833275</v>
      </c>
      <c r="U682" s="29">
        <f t="shared" si="140"/>
        <v>4542.4683829833275</v>
      </c>
      <c r="V682" s="33" t="s">
        <v>569</v>
      </c>
    </row>
    <row r="683" spans="1:22" s="44" customFormat="1" ht="45" x14ac:dyDescent="0.25">
      <c r="A683" s="28">
        <v>2</v>
      </c>
      <c r="B683" s="64" t="s">
        <v>670</v>
      </c>
      <c r="C683" s="25" t="s">
        <v>43</v>
      </c>
      <c r="D683" s="27" t="s">
        <v>147</v>
      </c>
      <c r="E683" s="63">
        <v>2018</v>
      </c>
      <c r="F683" s="25" t="s">
        <v>77</v>
      </c>
      <c r="G683" s="117">
        <v>0.8</v>
      </c>
      <c r="H683" s="28">
        <v>3</v>
      </c>
      <c r="I683" s="42">
        <v>3447.9</v>
      </c>
      <c r="J683" s="29">
        <v>2836.87</v>
      </c>
      <c r="K683" s="29">
        <v>2836.87</v>
      </c>
      <c r="L683" s="30">
        <v>91</v>
      </c>
      <c r="M683" s="31">
        <f t="shared" si="151"/>
        <v>1257324.23</v>
      </c>
      <c r="N683" s="29">
        <v>0</v>
      </c>
      <c r="O683" s="29">
        <v>0</v>
      </c>
      <c r="P683" s="29">
        <v>0</v>
      </c>
      <c r="Q683" s="42">
        <f>'Таблица 3 '!C673</f>
        <v>1257324.23</v>
      </c>
      <c r="R683" s="42">
        <f t="shared" si="152"/>
        <v>1257324.23</v>
      </c>
      <c r="S683" s="29">
        <v>0</v>
      </c>
      <c r="T683" s="29">
        <f t="shared" si="136"/>
        <v>443.20826474248025</v>
      </c>
      <c r="U683" s="29">
        <f t="shared" si="140"/>
        <v>443.20826474248025</v>
      </c>
      <c r="V683" s="33" t="s">
        <v>569</v>
      </c>
    </row>
    <row r="684" spans="1:22" s="44" customFormat="1" ht="45" x14ac:dyDescent="0.25">
      <c r="A684" s="28">
        <v>3</v>
      </c>
      <c r="B684" s="64" t="s">
        <v>671</v>
      </c>
      <c r="C684" s="25" t="s">
        <v>43</v>
      </c>
      <c r="D684" s="27" t="s">
        <v>173</v>
      </c>
      <c r="E684" s="63">
        <v>2019</v>
      </c>
      <c r="F684" s="25" t="s">
        <v>77</v>
      </c>
      <c r="G684" s="28">
        <v>5</v>
      </c>
      <c r="H684" s="28">
        <v>3</v>
      </c>
      <c r="I684" s="42">
        <v>3483.96</v>
      </c>
      <c r="J684" s="29">
        <v>2922.29</v>
      </c>
      <c r="K684" s="29">
        <v>2922.29</v>
      </c>
      <c r="L684" s="30">
        <v>80</v>
      </c>
      <c r="M684" s="31">
        <f t="shared" si="151"/>
        <v>415877.24</v>
      </c>
      <c r="N684" s="29">
        <v>0</v>
      </c>
      <c r="O684" s="29">
        <v>0</v>
      </c>
      <c r="P684" s="29">
        <v>0</v>
      </c>
      <c r="Q684" s="42">
        <f>'Таблица 3 '!C674</f>
        <v>415877.24</v>
      </c>
      <c r="R684" s="42">
        <f t="shared" si="152"/>
        <v>415877.24</v>
      </c>
      <c r="S684" s="29">
        <v>0</v>
      </c>
      <c r="T684" s="29">
        <f t="shared" si="136"/>
        <v>142.31210454814547</v>
      </c>
      <c r="U684" s="29">
        <f t="shared" si="140"/>
        <v>142.31210454814547</v>
      </c>
      <c r="V684" s="33" t="s">
        <v>569</v>
      </c>
    </row>
    <row r="685" spans="1:22" s="44" customFormat="1" ht="45" x14ac:dyDescent="0.25">
      <c r="A685" s="28">
        <v>4</v>
      </c>
      <c r="B685" s="64" t="s">
        <v>672</v>
      </c>
      <c r="C685" s="25" t="s">
        <v>43</v>
      </c>
      <c r="D685" s="27" t="s">
        <v>213</v>
      </c>
      <c r="E685" s="27" t="s">
        <v>39</v>
      </c>
      <c r="F685" s="25" t="s">
        <v>77</v>
      </c>
      <c r="G685" s="28">
        <v>6</v>
      </c>
      <c r="H685" s="28">
        <v>6</v>
      </c>
      <c r="I685" s="42">
        <v>6010.64</v>
      </c>
      <c r="J685" s="29">
        <v>4343.2700000000004</v>
      </c>
      <c r="K685" s="29">
        <v>4343.2700000000004</v>
      </c>
      <c r="L685" s="30">
        <v>167</v>
      </c>
      <c r="M685" s="31">
        <f t="shared" si="151"/>
        <v>7151101.0899999999</v>
      </c>
      <c r="N685" s="29">
        <v>0</v>
      </c>
      <c r="O685" s="29">
        <v>0</v>
      </c>
      <c r="P685" s="29">
        <v>0</v>
      </c>
      <c r="Q685" s="42">
        <f>'Таблица 3 '!C675</f>
        <v>7151101.0899999999</v>
      </c>
      <c r="R685" s="42">
        <f t="shared" si="152"/>
        <v>7151101.0899999999</v>
      </c>
      <c r="S685" s="29">
        <v>0</v>
      </c>
      <c r="T685" s="29">
        <f t="shared" si="136"/>
        <v>1646.4785956203505</v>
      </c>
      <c r="U685" s="29">
        <f t="shared" si="140"/>
        <v>1646.4785956203505</v>
      </c>
      <c r="V685" s="33" t="s">
        <v>569</v>
      </c>
    </row>
    <row r="686" spans="1:22" s="44" customFormat="1" ht="45" x14ac:dyDescent="0.25">
      <c r="A686" s="28">
        <v>5</v>
      </c>
      <c r="B686" s="64" t="s">
        <v>673</v>
      </c>
      <c r="C686" s="25" t="s">
        <v>43</v>
      </c>
      <c r="D686" s="27" t="s">
        <v>674</v>
      </c>
      <c r="E686" s="27" t="s">
        <v>39</v>
      </c>
      <c r="F686" s="25" t="s">
        <v>77</v>
      </c>
      <c r="G686" s="28">
        <v>2</v>
      </c>
      <c r="H686" s="28">
        <v>1</v>
      </c>
      <c r="I686" s="42">
        <v>523.79999999999995</v>
      </c>
      <c r="J686" s="29">
        <v>523.79999999999995</v>
      </c>
      <c r="K686" s="29">
        <v>523.79999999999995</v>
      </c>
      <c r="L686" s="30">
        <v>17</v>
      </c>
      <c r="M686" s="31">
        <f t="shared" si="151"/>
        <v>4821503.9899999993</v>
      </c>
      <c r="N686" s="29">
        <v>0</v>
      </c>
      <c r="O686" s="29">
        <v>0</v>
      </c>
      <c r="P686" s="29">
        <v>0</v>
      </c>
      <c r="Q686" s="42">
        <f>'Таблица 3 '!C676</f>
        <v>4821503.9899999993</v>
      </c>
      <c r="R686" s="42">
        <f t="shared" si="152"/>
        <v>4821503.9899999993</v>
      </c>
      <c r="S686" s="29">
        <v>0</v>
      </c>
      <c r="T686" s="29">
        <f t="shared" si="136"/>
        <v>9204.8567964872091</v>
      </c>
      <c r="U686" s="29">
        <f t="shared" si="140"/>
        <v>9204.8567964872091</v>
      </c>
      <c r="V686" s="33" t="s">
        <v>569</v>
      </c>
    </row>
    <row r="687" spans="1:22" s="44" customFormat="1" ht="45" x14ac:dyDescent="0.25">
      <c r="A687" s="28">
        <v>6</v>
      </c>
      <c r="B687" s="64" t="s">
        <v>368</v>
      </c>
      <c r="C687" s="25" t="s">
        <v>43</v>
      </c>
      <c r="D687" s="27" t="s">
        <v>93</v>
      </c>
      <c r="E687" s="27" t="s">
        <v>39</v>
      </c>
      <c r="F687" s="25" t="s">
        <v>48</v>
      </c>
      <c r="G687" s="28">
        <v>5</v>
      </c>
      <c r="H687" s="28">
        <v>2</v>
      </c>
      <c r="I687" s="42">
        <v>4559</v>
      </c>
      <c r="J687" s="29">
        <v>2996.78</v>
      </c>
      <c r="K687" s="29">
        <v>2996.78</v>
      </c>
      <c r="L687" s="30">
        <v>156</v>
      </c>
      <c r="M687" s="31">
        <f t="shared" si="151"/>
        <v>5092018.97</v>
      </c>
      <c r="N687" s="29">
        <v>0</v>
      </c>
      <c r="O687" s="29">
        <v>0</v>
      </c>
      <c r="P687" s="29">
        <v>0</v>
      </c>
      <c r="Q687" s="42">
        <f>'Таблица 3 '!C677</f>
        <v>5092018.97</v>
      </c>
      <c r="R687" s="42">
        <f t="shared" si="152"/>
        <v>5092018.97</v>
      </c>
      <c r="S687" s="29">
        <v>0</v>
      </c>
      <c r="T687" s="29">
        <f t="shared" si="136"/>
        <v>1699.1634254099397</v>
      </c>
      <c r="U687" s="29">
        <f t="shared" si="140"/>
        <v>1699.1634254099397</v>
      </c>
      <c r="V687" s="33" t="s">
        <v>569</v>
      </c>
    </row>
    <row r="688" spans="1:22" s="44" customFormat="1" ht="42.75" customHeight="1" x14ac:dyDescent="0.25">
      <c r="A688" s="28">
        <v>7</v>
      </c>
      <c r="B688" s="37" t="s">
        <v>675</v>
      </c>
      <c r="C688" s="25" t="s">
        <v>43</v>
      </c>
      <c r="D688" s="27">
        <v>1983</v>
      </c>
      <c r="E688" s="27" t="s">
        <v>39</v>
      </c>
      <c r="F688" s="25" t="s">
        <v>77</v>
      </c>
      <c r="G688" s="25">
        <v>3</v>
      </c>
      <c r="H688" s="25">
        <v>3</v>
      </c>
      <c r="I688" s="42">
        <v>934.16</v>
      </c>
      <c r="J688" s="42">
        <v>860.87</v>
      </c>
      <c r="K688" s="42">
        <v>860.87</v>
      </c>
      <c r="L688" s="43">
        <v>46</v>
      </c>
      <c r="M688" s="31">
        <f t="shared" si="151"/>
        <v>350382</v>
      </c>
      <c r="N688" s="29">
        <v>0</v>
      </c>
      <c r="O688" s="29">
        <v>0</v>
      </c>
      <c r="P688" s="29">
        <v>0</v>
      </c>
      <c r="Q688" s="42">
        <f>'Таблица 3 '!C678</f>
        <v>350382</v>
      </c>
      <c r="R688" s="42">
        <f t="shared" si="152"/>
        <v>350382</v>
      </c>
      <c r="S688" s="29">
        <v>0</v>
      </c>
      <c r="T688" s="29">
        <f t="shared" si="136"/>
        <v>407.00918837919778</v>
      </c>
      <c r="U688" s="29">
        <f t="shared" si="140"/>
        <v>407.00918837919778</v>
      </c>
      <c r="V688" s="33" t="s">
        <v>569</v>
      </c>
    </row>
    <row r="689" spans="1:23" s="44" customFormat="1" ht="42.75" customHeight="1" x14ac:dyDescent="0.25">
      <c r="A689" s="28">
        <v>8</v>
      </c>
      <c r="B689" s="37" t="s">
        <v>377</v>
      </c>
      <c r="C689" s="25" t="s">
        <v>43</v>
      </c>
      <c r="D689" s="27" t="s">
        <v>378</v>
      </c>
      <c r="E689" s="27" t="s">
        <v>39</v>
      </c>
      <c r="F689" s="25" t="s">
        <v>77</v>
      </c>
      <c r="G689" s="25">
        <v>3</v>
      </c>
      <c r="H689" s="25">
        <v>3</v>
      </c>
      <c r="I689" s="42">
        <v>934.16</v>
      </c>
      <c r="J689" s="42">
        <v>860.87</v>
      </c>
      <c r="K689" s="42">
        <v>860.87</v>
      </c>
      <c r="L689" s="43">
        <v>46</v>
      </c>
      <c r="M689" s="31">
        <f t="shared" si="151"/>
        <v>7924185.0700000003</v>
      </c>
      <c r="N689" s="29">
        <v>0</v>
      </c>
      <c r="O689" s="29">
        <v>0</v>
      </c>
      <c r="P689" s="29">
        <v>0</v>
      </c>
      <c r="Q689" s="42">
        <f>'Таблица 3 '!C679</f>
        <v>7924185.0700000003</v>
      </c>
      <c r="R689" s="42">
        <f t="shared" si="152"/>
        <v>7924185.0700000003</v>
      </c>
      <c r="S689" s="29">
        <v>0</v>
      </c>
      <c r="T689" s="29">
        <f t="shared" si="136"/>
        <v>9204.8567960319215</v>
      </c>
      <c r="U689" s="29">
        <f t="shared" si="140"/>
        <v>9204.8567960319215</v>
      </c>
      <c r="V689" s="33" t="s">
        <v>569</v>
      </c>
    </row>
    <row r="690" spans="1:23" s="44" customFormat="1" ht="42.75" customHeight="1" x14ac:dyDescent="0.25">
      <c r="A690" s="28">
        <v>9</v>
      </c>
      <c r="B690" s="37" t="s">
        <v>380</v>
      </c>
      <c r="C690" s="25" t="s">
        <v>43</v>
      </c>
      <c r="D690" s="27">
        <v>1967</v>
      </c>
      <c r="E690" s="27" t="s">
        <v>39</v>
      </c>
      <c r="F690" s="25" t="s">
        <v>77</v>
      </c>
      <c r="G690" s="25">
        <v>2</v>
      </c>
      <c r="H690" s="25">
        <v>2</v>
      </c>
      <c r="I690" s="42">
        <v>956.34</v>
      </c>
      <c r="J690" s="42">
        <v>633.58000000000004</v>
      </c>
      <c r="K690" s="42">
        <v>586.82000000000005</v>
      </c>
      <c r="L690" s="43">
        <v>16</v>
      </c>
      <c r="M690" s="31">
        <f t="shared" si="151"/>
        <v>4992822.5</v>
      </c>
      <c r="N690" s="29">
        <v>0</v>
      </c>
      <c r="O690" s="29">
        <v>0</v>
      </c>
      <c r="P690" s="29">
        <v>0</v>
      </c>
      <c r="Q690" s="42">
        <f>'Таблица 3 '!C680</f>
        <v>4992822.5</v>
      </c>
      <c r="R690" s="42">
        <f t="shared" si="152"/>
        <v>4992822.5</v>
      </c>
      <c r="S690" s="29">
        <v>0</v>
      </c>
      <c r="T690" s="29">
        <f t="shared" si="136"/>
        <v>7880.334764354935</v>
      </c>
      <c r="U690" s="29">
        <f t="shared" si="140"/>
        <v>7880.334764354935</v>
      </c>
      <c r="V690" s="33" t="s">
        <v>569</v>
      </c>
    </row>
    <row r="691" spans="1:23" s="44" customFormat="1" ht="42.75" customHeight="1" x14ac:dyDescent="0.25">
      <c r="A691" s="28">
        <v>10</v>
      </c>
      <c r="B691" s="38" t="s">
        <v>676</v>
      </c>
      <c r="C691" s="25" t="s">
        <v>43</v>
      </c>
      <c r="D691" s="27">
        <v>1979</v>
      </c>
      <c r="E691" s="27">
        <v>2023</v>
      </c>
      <c r="F691" s="25" t="s">
        <v>77</v>
      </c>
      <c r="G691" s="25">
        <v>5</v>
      </c>
      <c r="H691" s="25">
        <v>4</v>
      </c>
      <c r="I691" s="42">
        <v>4416.0200000000004</v>
      </c>
      <c r="J691" s="42">
        <v>3570.79</v>
      </c>
      <c r="K691" s="42">
        <v>3570.79</v>
      </c>
      <c r="L691" s="43">
        <v>76</v>
      </c>
      <c r="M691" s="31">
        <f t="shared" si="151"/>
        <v>350382</v>
      </c>
      <c r="N691" s="29">
        <v>0</v>
      </c>
      <c r="O691" s="29">
        <v>0</v>
      </c>
      <c r="P691" s="29">
        <v>0</v>
      </c>
      <c r="Q691" s="42">
        <f>'Таблица 3 '!C681</f>
        <v>350382</v>
      </c>
      <c r="R691" s="42">
        <f t="shared" si="152"/>
        <v>350382</v>
      </c>
      <c r="S691" s="29">
        <v>0</v>
      </c>
      <c r="T691" s="29">
        <f t="shared" si="136"/>
        <v>98.124504661433463</v>
      </c>
      <c r="U691" s="29">
        <f t="shared" si="140"/>
        <v>98.124504661433463</v>
      </c>
      <c r="V691" s="33" t="s">
        <v>569</v>
      </c>
    </row>
    <row r="692" spans="1:23" s="44" customFormat="1" ht="42.75" customHeight="1" x14ac:dyDescent="0.25">
      <c r="A692" s="28">
        <v>11</v>
      </c>
      <c r="B692" s="37" t="s">
        <v>677</v>
      </c>
      <c r="C692" s="25" t="s">
        <v>43</v>
      </c>
      <c r="D692" s="27" t="s">
        <v>86</v>
      </c>
      <c r="E692" s="27" t="s">
        <v>39</v>
      </c>
      <c r="F692" s="25" t="s">
        <v>384</v>
      </c>
      <c r="G692" s="25">
        <v>5</v>
      </c>
      <c r="H692" s="25">
        <v>4</v>
      </c>
      <c r="I692" s="42">
        <v>2811.8</v>
      </c>
      <c r="J692" s="42">
        <v>2811.3</v>
      </c>
      <c r="K692" s="42">
        <v>49.5</v>
      </c>
      <c r="L692" s="43">
        <v>120</v>
      </c>
      <c r="M692" s="31">
        <f t="shared" si="151"/>
        <v>21094126.82</v>
      </c>
      <c r="N692" s="29">
        <v>0</v>
      </c>
      <c r="O692" s="29">
        <v>0</v>
      </c>
      <c r="P692" s="29">
        <v>0</v>
      </c>
      <c r="Q692" s="42">
        <f>'Таблица 3 '!C682</f>
        <v>21094126.82</v>
      </c>
      <c r="R692" s="42">
        <f t="shared" si="152"/>
        <v>21094126.82</v>
      </c>
      <c r="S692" s="29">
        <v>0</v>
      </c>
      <c r="T692" s="29">
        <f t="shared" si="136"/>
        <v>7503.3354035499588</v>
      </c>
      <c r="U692" s="29">
        <f t="shared" si="140"/>
        <v>7503.3354035499588</v>
      </c>
      <c r="V692" s="33" t="s">
        <v>569</v>
      </c>
    </row>
    <row r="693" spans="1:23" s="44" customFormat="1" ht="42.75" customHeight="1" x14ac:dyDescent="0.25">
      <c r="A693" s="28">
        <v>12</v>
      </c>
      <c r="B693" s="37" t="s">
        <v>678</v>
      </c>
      <c r="C693" s="25" t="s">
        <v>43</v>
      </c>
      <c r="D693" s="27" t="s">
        <v>126</v>
      </c>
      <c r="E693" s="27" t="s">
        <v>39</v>
      </c>
      <c r="F693" s="25" t="s">
        <v>77</v>
      </c>
      <c r="G693" s="25">
        <v>6</v>
      </c>
      <c r="H693" s="25">
        <v>4</v>
      </c>
      <c r="I693" s="42">
        <v>3783.1</v>
      </c>
      <c r="J693" s="42">
        <v>2783.1</v>
      </c>
      <c r="K693" s="42">
        <v>56.1</v>
      </c>
      <c r="L693" s="43">
        <v>176</v>
      </c>
      <c r="M693" s="31">
        <f t="shared" si="151"/>
        <v>20900056.580000002</v>
      </c>
      <c r="N693" s="29">
        <v>0</v>
      </c>
      <c r="O693" s="29">
        <v>0</v>
      </c>
      <c r="P693" s="29">
        <v>0</v>
      </c>
      <c r="Q693" s="42">
        <f>'Таблица 3 '!C683</f>
        <v>20900056.580000002</v>
      </c>
      <c r="R693" s="42">
        <f t="shared" si="152"/>
        <v>20900056.580000002</v>
      </c>
      <c r="S693" s="29">
        <v>0</v>
      </c>
      <c r="T693" s="29">
        <f t="shared" si="136"/>
        <v>7509.6319140526757</v>
      </c>
      <c r="U693" s="29">
        <f t="shared" si="140"/>
        <v>7509.6319140526757</v>
      </c>
      <c r="V693" s="33" t="s">
        <v>569</v>
      </c>
    </row>
    <row r="694" spans="1:23" s="44" customFormat="1" ht="42.75" customHeight="1" x14ac:dyDescent="0.25">
      <c r="A694" s="28">
        <v>13</v>
      </c>
      <c r="B694" s="37" t="s">
        <v>679</v>
      </c>
      <c r="C694" s="25" t="s">
        <v>43</v>
      </c>
      <c r="D694" s="27" t="s">
        <v>170</v>
      </c>
      <c r="E694" s="27" t="s">
        <v>39</v>
      </c>
      <c r="F694" s="25" t="s">
        <v>77</v>
      </c>
      <c r="G694" s="25">
        <v>5</v>
      </c>
      <c r="H694" s="25">
        <v>4</v>
      </c>
      <c r="I694" s="42">
        <v>4312.3999999999996</v>
      </c>
      <c r="J694" s="42">
        <v>4056.4</v>
      </c>
      <c r="K694" s="42">
        <v>0</v>
      </c>
      <c r="L694" s="43">
        <v>76</v>
      </c>
      <c r="M694" s="31">
        <f t="shared" si="151"/>
        <v>22958633.82</v>
      </c>
      <c r="N694" s="29">
        <v>0</v>
      </c>
      <c r="O694" s="29">
        <v>0</v>
      </c>
      <c r="P694" s="29">
        <v>0</v>
      </c>
      <c r="Q694" s="42">
        <f>'Таблица 3 '!C684</f>
        <v>22958633.82</v>
      </c>
      <c r="R694" s="42">
        <f t="shared" si="152"/>
        <v>22958633.82</v>
      </c>
      <c r="S694" s="29">
        <v>0</v>
      </c>
      <c r="T694" s="29">
        <f t="shared" si="136"/>
        <v>5659.8545064589289</v>
      </c>
      <c r="U694" s="29">
        <f t="shared" si="140"/>
        <v>5659.8545064589289</v>
      </c>
      <c r="V694" s="33" t="s">
        <v>569</v>
      </c>
    </row>
    <row r="695" spans="1:23" s="108" customFormat="1" ht="42.75" customHeight="1" x14ac:dyDescent="0.25">
      <c r="A695" s="28">
        <v>14</v>
      </c>
      <c r="B695" s="37" t="s">
        <v>680</v>
      </c>
      <c r="C695" s="25" t="s">
        <v>43</v>
      </c>
      <c r="D695" s="27" t="s">
        <v>370</v>
      </c>
      <c r="E695" s="27" t="s">
        <v>39</v>
      </c>
      <c r="F695" s="25" t="s">
        <v>77</v>
      </c>
      <c r="G695" s="25">
        <v>5</v>
      </c>
      <c r="H695" s="25">
        <v>4</v>
      </c>
      <c r="I695" s="42">
        <v>3490</v>
      </c>
      <c r="J695" s="42">
        <v>2870</v>
      </c>
      <c r="K695" s="42">
        <v>0</v>
      </c>
      <c r="L695" s="43">
        <v>0</v>
      </c>
      <c r="M695" s="31">
        <f t="shared" si="151"/>
        <v>16653695.85</v>
      </c>
      <c r="N695" s="29">
        <v>0</v>
      </c>
      <c r="O695" s="29">
        <v>0</v>
      </c>
      <c r="P695" s="29">
        <v>0</v>
      </c>
      <c r="Q695" s="42">
        <f>'Таблица 3 '!C685</f>
        <v>16653695.85</v>
      </c>
      <c r="R695" s="42">
        <f t="shared" si="152"/>
        <v>16653695.85</v>
      </c>
      <c r="S695" s="29">
        <v>0</v>
      </c>
      <c r="T695" s="29">
        <f t="shared" si="136"/>
        <v>5802.6814808362369</v>
      </c>
      <c r="U695" s="29">
        <f t="shared" si="140"/>
        <v>5802.6814808362369</v>
      </c>
      <c r="V695" s="33" t="s">
        <v>569</v>
      </c>
      <c r="W695" s="44"/>
    </row>
    <row r="696" spans="1:23" s="108" customFormat="1" ht="42.75" customHeight="1" x14ac:dyDescent="0.25">
      <c r="A696" s="28">
        <v>15</v>
      </c>
      <c r="B696" s="37" t="s">
        <v>681</v>
      </c>
      <c r="C696" s="25" t="s">
        <v>43</v>
      </c>
      <c r="D696" s="27" t="s">
        <v>86</v>
      </c>
      <c r="E696" s="27" t="s">
        <v>39</v>
      </c>
      <c r="F696" s="25" t="s">
        <v>77</v>
      </c>
      <c r="G696" s="28">
        <v>5</v>
      </c>
      <c r="H696" s="28">
        <v>3</v>
      </c>
      <c r="I696" s="42">
        <v>3390</v>
      </c>
      <c r="J696" s="29">
        <v>3371.3</v>
      </c>
      <c r="K696" s="29">
        <v>0</v>
      </c>
      <c r="L696" s="30">
        <v>57</v>
      </c>
      <c r="M696" s="31">
        <f t="shared" si="151"/>
        <v>19317776.599999998</v>
      </c>
      <c r="N696" s="29">
        <v>0</v>
      </c>
      <c r="O696" s="29">
        <v>0</v>
      </c>
      <c r="P696" s="29">
        <v>0</v>
      </c>
      <c r="Q696" s="42">
        <f>'Таблица 3 '!C686</f>
        <v>19317776.599999998</v>
      </c>
      <c r="R696" s="42">
        <f t="shared" si="152"/>
        <v>19317776.599999998</v>
      </c>
      <c r="S696" s="29">
        <v>0</v>
      </c>
      <c r="T696" s="29">
        <f t="shared" si="136"/>
        <v>5730.0675110491493</v>
      </c>
      <c r="U696" s="29">
        <f t="shared" si="140"/>
        <v>5730.0675110491493</v>
      </c>
      <c r="V696" s="33" t="s">
        <v>569</v>
      </c>
      <c r="W696" s="44"/>
    </row>
    <row r="697" spans="1:23" s="44" customFormat="1" ht="21.75" customHeight="1" x14ac:dyDescent="0.25">
      <c r="A697" s="322" t="s">
        <v>382</v>
      </c>
      <c r="B697" s="322"/>
      <c r="C697" s="18" t="s">
        <v>39</v>
      </c>
      <c r="D697" s="18" t="s">
        <v>39</v>
      </c>
      <c r="E697" s="19" t="s">
        <v>39</v>
      </c>
      <c r="F697" s="18" t="s">
        <v>39</v>
      </c>
      <c r="G697" s="18" t="s">
        <v>39</v>
      </c>
      <c r="H697" s="18" t="s">
        <v>39</v>
      </c>
      <c r="I697" s="118">
        <f t="shared" ref="I697:S697" si="153">SUM(I698:I700)</f>
        <v>8941.380000000001</v>
      </c>
      <c r="J697" s="118">
        <f t="shared" si="153"/>
        <v>8307.0499999999993</v>
      </c>
      <c r="K697" s="118">
        <f t="shared" si="153"/>
        <v>8175.75</v>
      </c>
      <c r="L697" s="119">
        <f t="shared" si="153"/>
        <v>377</v>
      </c>
      <c r="M697" s="118">
        <f t="shared" si="153"/>
        <v>14479098.100000001</v>
      </c>
      <c r="N697" s="118">
        <f t="shared" si="153"/>
        <v>0</v>
      </c>
      <c r="O697" s="118">
        <f t="shared" si="153"/>
        <v>0</v>
      </c>
      <c r="P697" s="118">
        <f t="shared" si="153"/>
        <v>0</v>
      </c>
      <c r="Q697" s="118">
        <f t="shared" si="153"/>
        <v>14479098.100000001</v>
      </c>
      <c r="R697" s="118">
        <f t="shared" si="153"/>
        <v>14479098.100000001</v>
      </c>
      <c r="S697" s="118">
        <f t="shared" si="153"/>
        <v>0</v>
      </c>
      <c r="T697" s="24" t="s">
        <v>40</v>
      </c>
      <c r="U697" s="24" t="s">
        <v>40</v>
      </c>
      <c r="V697" s="20" t="s">
        <v>40</v>
      </c>
    </row>
    <row r="698" spans="1:23" s="44" customFormat="1" ht="42.75" customHeight="1" x14ac:dyDescent="0.25">
      <c r="A698" s="25">
        <v>1</v>
      </c>
      <c r="B698" s="37" t="s">
        <v>682</v>
      </c>
      <c r="C698" s="25" t="s">
        <v>90</v>
      </c>
      <c r="D698" s="25">
        <v>1982</v>
      </c>
      <c r="E698" s="27" t="s">
        <v>40</v>
      </c>
      <c r="F698" s="25" t="s">
        <v>77</v>
      </c>
      <c r="G698" s="25">
        <v>9</v>
      </c>
      <c r="H698" s="25">
        <v>2</v>
      </c>
      <c r="I698" s="42">
        <v>4103.5</v>
      </c>
      <c r="J698" s="42">
        <v>3791.7</v>
      </c>
      <c r="K698" s="42">
        <v>3791.7</v>
      </c>
      <c r="L698" s="43">
        <v>168</v>
      </c>
      <c r="M698" s="32">
        <f t="shared" ref="M698:M700" si="154">SUM(N698:Q698)</f>
        <v>5964866.0700000003</v>
      </c>
      <c r="N698" s="32">
        <v>0</v>
      </c>
      <c r="O698" s="32">
        <v>0</v>
      </c>
      <c r="P698" s="32">
        <v>0</v>
      </c>
      <c r="Q698" s="75">
        <f>'Таблица 3 '!C688</f>
        <v>5964866.0700000003</v>
      </c>
      <c r="R698" s="75">
        <f t="shared" ref="R698:R700" si="155">Q698</f>
        <v>5964866.0700000003</v>
      </c>
      <c r="S698" s="32">
        <v>0</v>
      </c>
      <c r="T698" s="29">
        <f t="shared" si="136"/>
        <v>1573.1376612073741</v>
      </c>
      <c r="U698" s="29">
        <f t="shared" si="140"/>
        <v>1573.1376612073741</v>
      </c>
      <c r="V698" s="73" t="s">
        <v>569</v>
      </c>
    </row>
    <row r="699" spans="1:23" s="44" customFormat="1" ht="42.75" customHeight="1" x14ac:dyDescent="0.25">
      <c r="A699" s="25">
        <v>2</v>
      </c>
      <c r="B699" s="37" t="s">
        <v>683</v>
      </c>
      <c r="C699" s="25" t="s">
        <v>90</v>
      </c>
      <c r="D699" s="25">
        <v>1983</v>
      </c>
      <c r="E699" s="27" t="s">
        <v>40</v>
      </c>
      <c r="F699" s="25" t="s">
        <v>77</v>
      </c>
      <c r="G699" s="25">
        <v>9</v>
      </c>
      <c r="H699" s="25">
        <v>2</v>
      </c>
      <c r="I699" s="42">
        <v>4183.1000000000004</v>
      </c>
      <c r="J699" s="42">
        <v>3865.75</v>
      </c>
      <c r="K699" s="42">
        <v>3865.75</v>
      </c>
      <c r="L699" s="43">
        <v>176</v>
      </c>
      <c r="M699" s="32">
        <f t="shared" si="154"/>
        <v>5964866.0700000003</v>
      </c>
      <c r="N699" s="32">
        <v>0</v>
      </c>
      <c r="O699" s="32">
        <v>0</v>
      </c>
      <c r="P699" s="32">
        <v>0</v>
      </c>
      <c r="Q699" s="75">
        <f>'Таблица 3 '!C689</f>
        <v>5964866.0700000003</v>
      </c>
      <c r="R699" s="75">
        <f t="shared" si="155"/>
        <v>5964866.0700000003</v>
      </c>
      <c r="S699" s="32">
        <v>0</v>
      </c>
      <c r="T699" s="29">
        <f t="shared" si="136"/>
        <v>1543.0035749854492</v>
      </c>
      <c r="U699" s="29">
        <f t="shared" si="140"/>
        <v>1543.0035749854492</v>
      </c>
      <c r="V699" s="73" t="s">
        <v>569</v>
      </c>
    </row>
    <row r="700" spans="1:23" s="44" customFormat="1" ht="42.75" customHeight="1" x14ac:dyDescent="0.25">
      <c r="A700" s="25">
        <v>3</v>
      </c>
      <c r="B700" s="37" t="s">
        <v>684</v>
      </c>
      <c r="C700" s="25" t="s">
        <v>43</v>
      </c>
      <c r="D700" s="25">
        <v>1983</v>
      </c>
      <c r="E700" s="27" t="s">
        <v>40</v>
      </c>
      <c r="F700" s="25" t="s">
        <v>384</v>
      </c>
      <c r="G700" s="25">
        <v>2</v>
      </c>
      <c r="H700" s="25">
        <v>2</v>
      </c>
      <c r="I700" s="42">
        <v>654.78</v>
      </c>
      <c r="J700" s="42">
        <v>649.6</v>
      </c>
      <c r="K700" s="42">
        <v>518.29999999999995</v>
      </c>
      <c r="L700" s="43">
        <v>33</v>
      </c>
      <c r="M700" s="32">
        <f t="shared" si="154"/>
        <v>2549365.96</v>
      </c>
      <c r="N700" s="32">
        <v>0</v>
      </c>
      <c r="O700" s="32">
        <v>0</v>
      </c>
      <c r="P700" s="32">
        <v>0</v>
      </c>
      <c r="Q700" s="75">
        <f>'Таблица 3 '!C690</f>
        <v>2549365.96</v>
      </c>
      <c r="R700" s="75">
        <f t="shared" si="155"/>
        <v>2549365.96</v>
      </c>
      <c r="S700" s="32">
        <v>0</v>
      </c>
      <c r="T700" s="29">
        <f t="shared" si="136"/>
        <v>3924.5165640394089</v>
      </c>
      <c r="U700" s="29">
        <f t="shared" si="140"/>
        <v>3924.5165640394089</v>
      </c>
      <c r="V700" s="73" t="s">
        <v>569</v>
      </c>
    </row>
    <row r="701" spans="1:23" s="44" customFormat="1" ht="22.5" customHeight="1" x14ac:dyDescent="0.25">
      <c r="A701" s="322" t="s">
        <v>400</v>
      </c>
      <c r="B701" s="322"/>
      <c r="C701" s="18" t="s">
        <v>39</v>
      </c>
      <c r="D701" s="18" t="s">
        <v>39</v>
      </c>
      <c r="E701" s="19" t="s">
        <v>39</v>
      </c>
      <c r="F701" s="18" t="s">
        <v>39</v>
      </c>
      <c r="G701" s="18" t="s">
        <v>39</v>
      </c>
      <c r="H701" s="18" t="s">
        <v>39</v>
      </c>
      <c r="I701" s="115">
        <f t="shared" ref="I701:S701" si="156">I702</f>
        <v>404.35</v>
      </c>
      <c r="J701" s="115">
        <f t="shared" si="156"/>
        <v>366.29</v>
      </c>
      <c r="K701" s="115">
        <f t="shared" si="156"/>
        <v>366.29</v>
      </c>
      <c r="L701" s="116">
        <f t="shared" si="156"/>
        <v>21</v>
      </c>
      <c r="M701" s="115">
        <f t="shared" si="156"/>
        <v>265594</v>
      </c>
      <c r="N701" s="115">
        <f t="shared" si="156"/>
        <v>0</v>
      </c>
      <c r="O701" s="115">
        <f t="shared" si="156"/>
        <v>0</v>
      </c>
      <c r="P701" s="115">
        <f t="shared" si="156"/>
        <v>0</v>
      </c>
      <c r="Q701" s="115">
        <f t="shared" si="156"/>
        <v>265594</v>
      </c>
      <c r="R701" s="115">
        <f t="shared" si="156"/>
        <v>265594</v>
      </c>
      <c r="S701" s="115">
        <f t="shared" si="156"/>
        <v>0</v>
      </c>
      <c r="T701" s="24" t="s">
        <v>39</v>
      </c>
      <c r="U701" s="24" t="s">
        <v>39</v>
      </c>
      <c r="V701" s="20" t="s">
        <v>39</v>
      </c>
    </row>
    <row r="702" spans="1:23" s="44" customFormat="1" ht="42.75" customHeight="1" x14ac:dyDescent="0.25">
      <c r="A702" s="25">
        <v>1</v>
      </c>
      <c r="B702" s="38" t="s">
        <v>685</v>
      </c>
      <c r="C702" s="25" t="s">
        <v>43</v>
      </c>
      <c r="D702" s="25">
        <v>1970</v>
      </c>
      <c r="E702" s="27" t="s">
        <v>39</v>
      </c>
      <c r="F702" s="25" t="s">
        <v>77</v>
      </c>
      <c r="G702" s="25">
        <v>2</v>
      </c>
      <c r="H702" s="25">
        <v>2</v>
      </c>
      <c r="I702" s="42">
        <v>404.35</v>
      </c>
      <c r="J702" s="42">
        <v>366.29</v>
      </c>
      <c r="K702" s="42">
        <v>366.29</v>
      </c>
      <c r="L702" s="43">
        <v>21</v>
      </c>
      <c r="M702" s="29">
        <f>SUM(N702:Q702)</f>
        <v>265594</v>
      </c>
      <c r="N702" s="29">
        <v>0</v>
      </c>
      <c r="O702" s="29">
        <v>0</v>
      </c>
      <c r="P702" s="29">
        <v>0</v>
      </c>
      <c r="Q702" s="42">
        <f>'Таблица 3 '!C692</f>
        <v>265594</v>
      </c>
      <c r="R702" s="42">
        <f>Q702</f>
        <v>265594</v>
      </c>
      <c r="S702" s="29">
        <v>0</v>
      </c>
      <c r="T702" s="29">
        <f t="shared" si="136"/>
        <v>725.092140107565</v>
      </c>
      <c r="U702" s="29">
        <f t="shared" si="140"/>
        <v>725.092140107565</v>
      </c>
      <c r="V702" s="33" t="s">
        <v>569</v>
      </c>
    </row>
    <row r="703" spans="1:23" s="44" customFormat="1" ht="27" customHeight="1" x14ac:dyDescent="0.25">
      <c r="A703" s="322" t="s">
        <v>406</v>
      </c>
      <c r="B703" s="322"/>
      <c r="C703" s="18" t="s">
        <v>39</v>
      </c>
      <c r="D703" s="18" t="s">
        <v>39</v>
      </c>
      <c r="E703" s="19" t="s">
        <v>39</v>
      </c>
      <c r="F703" s="18" t="s">
        <v>39</v>
      </c>
      <c r="G703" s="20" t="s">
        <v>39</v>
      </c>
      <c r="H703" s="20" t="s">
        <v>39</v>
      </c>
      <c r="I703" s="60">
        <f t="shared" ref="I703:S703" si="157">SUM(I704:I705)</f>
        <v>6046</v>
      </c>
      <c r="J703" s="60">
        <f t="shared" si="157"/>
        <v>3854.4</v>
      </c>
      <c r="K703" s="60">
        <f t="shared" si="157"/>
        <v>0</v>
      </c>
      <c r="L703" s="61">
        <f t="shared" si="157"/>
        <v>50</v>
      </c>
      <c r="M703" s="60">
        <f t="shared" si="157"/>
        <v>15146125.710000001</v>
      </c>
      <c r="N703" s="60">
        <f t="shared" si="157"/>
        <v>0</v>
      </c>
      <c r="O703" s="60">
        <f t="shared" si="157"/>
        <v>0</v>
      </c>
      <c r="P703" s="60">
        <f t="shared" si="157"/>
        <v>0</v>
      </c>
      <c r="Q703" s="60">
        <f t="shared" si="157"/>
        <v>15146125.710000001</v>
      </c>
      <c r="R703" s="60">
        <f t="shared" si="157"/>
        <v>15146125.710000001</v>
      </c>
      <c r="S703" s="60">
        <f t="shared" si="157"/>
        <v>0</v>
      </c>
      <c r="T703" s="24" t="s">
        <v>39</v>
      </c>
      <c r="U703" s="24" t="s">
        <v>39</v>
      </c>
      <c r="V703" s="20" t="s">
        <v>39</v>
      </c>
    </row>
    <row r="704" spans="1:23" s="44" customFormat="1" ht="46.9" customHeight="1" x14ac:dyDescent="0.25">
      <c r="A704" s="25">
        <v>1</v>
      </c>
      <c r="B704" s="37" t="s">
        <v>407</v>
      </c>
      <c r="C704" s="25" t="s">
        <v>43</v>
      </c>
      <c r="D704" s="25">
        <v>1967</v>
      </c>
      <c r="E704" s="27" t="s">
        <v>39</v>
      </c>
      <c r="F704" s="25" t="s">
        <v>48</v>
      </c>
      <c r="G704" s="28">
        <v>5</v>
      </c>
      <c r="H704" s="28">
        <v>3</v>
      </c>
      <c r="I704" s="29">
        <v>3199</v>
      </c>
      <c r="J704" s="29">
        <v>2083.4</v>
      </c>
      <c r="K704" s="29">
        <v>0</v>
      </c>
      <c r="L704" s="30">
        <v>10</v>
      </c>
      <c r="M704" s="31">
        <f t="shared" ref="M704:M705" si="158">SUM(N704:Q704)</f>
        <v>8050042.5700000003</v>
      </c>
      <c r="N704" s="29">
        <v>0</v>
      </c>
      <c r="O704" s="29">
        <v>0</v>
      </c>
      <c r="P704" s="29">
        <v>0</v>
      </c>
      <c r="Q704" s="31">
        <f>'Таблица 3 '!C694</f>
        <v>8050042.5700000003</v>
      </c>
      <c r="R704" s="29">
        <f t="shared" ref="R704:R705" si="159">Q704</f>
        <v>8050042.5700000003</v>
      </c>
      <c r="S704" s="29">
        <v>0</v>
      </c>
      <c r="T704" s="29">
        <f t="shared" si="136"/>
        <v>3863.8967889027549</v>
      </c>
      <c r="U704" s="29">
        <f t="shared" si="140"/>
        <v>3863.8967889027549</v>
      </c>
      <c r="V704" s="33" t="s">
        <v>569</v>
      </c>
    </row>
    <row r="705" spans="1:22" s="44" customFormat="1" ht="46.9" customHeight="1" x14ac:dyDescent="0.25">
      <c r="A705" s="25">
        <v>2</v>
      </c>
      <c r="B705" s="37" t="s">
        <v>410</v>
      </c>
      <c r="C705" s="25" t="s">
        <v>43</v>
      </c>
      <c r="D705" s="25">
        <v>1973</v>
      </c>
      <c r="E705" s="27" t="s">
        <v>39</v>
      </c>
      <c r="F705" s="25" t="s">
        <v>48</v>
      </c>
      <c r="G705" s="28">
        <v>5</v>
      </c>
      <c r="H705" s="28">
        <v>2</v>
      </c>
      <c r="I705" s="29">
        <v>2847</v>
      </c>
      <c r="J705" s="29">
        <v>1771</v>
      </c>
      <c r="K705" s="29">
        <v>0</v>
      </c>
      <c r="L705" s="30">
        <v>40</v>
      </c>
      <c r="M705" s="31">
        <f t="shared" si="158"/>
        <v>7096083.1400000006</v>
      </c>
      <c r="N705" s="29">
        <v>0</v>
      </c>
      <c r="O705" s="29">
        <v>0</v>
      </c>
      <c r="P705" s="29">
        <v>0</v>
      </c>
      <c r="Q705" s="31">
        <f>'Таблица 3 '!C695</f>
        <v>7096083.1400000006</v>
      </c>
      <c r="R705" s="29">
        <f t="shared" si="159"/>
        <v>7096083.1400000006</v>
      </c>
      <c r="S705" s="29">
        <v>0</v>
      </c>
      <c r="T705" s="29">
        <f t="shared" si="136"/>
        <v>4006.822778091474</v>
      </c>
      <c r="U705" s="29">
        <f t="shared" si="140"/>
        <v>4006.822778091474</v>
      </c>
      <c r="V705" s="33" t="s">
        <v>569</v>
      </c>
    </row>
    <row r="706" spans="1:22" s="44" customFormat="1" ht="24.75" customHeight="1" x14ac:dyDescent="0.25">
      <c r="A706" s="322" t="s">
        <v>412</v>
      </c>
      <c r="B706" s="322"/>
      <c r="C706" s="78" t="s">
        <v>39</v>
      </c>
      <c r="D706" s="78" t="s">
        <v>39</v>
      </c>
      <c r="E706" s="80" t="s">
        <v>39</v>
      </c>
      <c r="F706" s="79" t="s">
        <v>39</v>
      </c>
      <c r="G706" s="120" t="s">
        <v>39</v>
      </c>
      <c r="H706" s="120" t="s">
        <v>39</v>
      </c>
      <c r="I706" s="66">
        <f t="shared" ref="I706:S706" si="160">SUM(I707:I708)</f>
        <v>2925.3</v>
      </c>
      <c r="J706" s="66">
        <f t="shared" si="160"/>
        <v>2493.9</v>
      </c>
      <c r="K706" s="66">
        <f t="shared" si="160"/>
        <v>2491.6999999999998</v>
      </c>
      <c r="L706" s="67">
        <f t="shared" si="160"/>
        <v>126</v>
      </c>
      <c r="M706" s="66">
        <f t="shared" si="160"/>
        <v>18966693.939999998</v>
      </c>
      <c r="N706" s="66">
        <f t="shared" si="160"/>
        <v>0</v>
      </c>
      <c r="O706" s="66">
        <f t="shared" si="160"/>
        <v>0</v>
      </c>
      <c r="P706" s="66">
        <f t="shared" si="160"/>
        <v>0</v>
      </c>
      <c r="Q706" s="66">
        <f t="shared" si="160"/>
        <v>18966693.939999998</v>
      </c>
      <c r="R706" s="66">
        <f t="shared" si="160"/>
        <v>18966693.939999998</v>
      </c>
      <c r="S706" s="66">
        <f t="shared" si="160"/>
        <v>1</v>
      </c>
      <c r="T706" s="24" t="s">
        <v>39</v>
      </c>
      <c r="U706" s="24" t="s">
        <v>39</v>
      </c>
      <c r="V706" s="81" t="s">
        <v>39</v>
      </c>
    </row>
    <row r="707" spans="1:22" s="44" customFormat="1" ht="45" customHeight="1" x14ac:dyDescent="0.25">
      <c r="A707" s="25">
        <v>1</v>
      </c>
      <c r="B707" s="37" t="s">
        <v>418</v>
      </c>
      <c r="C707" s="25" t="s">
        <v>43</v>
      </c>
      <c r="D707" s="25">
        <v>1962</v>
      </c>
      <c r="E707" s="27" t="s">
        <v>40</v>
      </c>
      <c r="F707" s="25" t="s">
        <v>44</v>
      </c>
      <c r="G707" s="28">
        <v>4</v>
      </c>
      <c r="H707" s="28">
        <v>2</v>
      </c>
      <c r="I707" s="75">
        <v>1364.9</v>
      </c>
      <c r="J707" s="32">
        <v>1200.7</v>
      </c>
      <c r="K707" s="32">
        <v>1198.5</v>
      </c>
      <c r="L707" s="35">
        <v>53</v>
      </c>
      <c r="M707" s="31">
        <f t="shared" ref="M707:M708" si="161">SUM(N707:Q707)</f>
        <v>13616949.17</v>
      </c>
      <c r="N707" s="32">
        <v>0</v>
      </c>
      <c r="O707" s="32">
        <v>0</v>
      </c>
      <c r="P707" s="32">
        <v>0</v>
      </c>
      <c r="Q707" s="32">
        <f>'Таблица 3 '!C697</f>
        <v>13616949.17</v>
      </c>
      <c r="R707" s="32">
        <f t="shared" ref="R707:R708" si="162">Q707</f>
        <v>13616949.17</v>
      </c>
      <c r="S707" s="29">
        <v>0</v>
      </c>
      <c r="T707" s="32">
        <f t="shared" si="136"/>
        <v>11340.84215041226</v>
      </c>
      <c r="U707" s="83">
        <f t="shared" si="140"/>
        <v>11340.84215041226</v>
      </c>
      <c r="V707" s="33" t="s">
        <v>569</v>
      </c>
    </row>
    <row r="708" spans="1:22" s="44" customFormat="1" ht="42" customHeight="1" x14ac:dyDescent="0.25">
      <c r="A708" s="25">
        <v>2</v>
      </c>
      <c r="B708" s="26" t="s">
        <v>428</v>
      </c>
      <c r="C708" s="25" t="s">
        <v>43</v>
      </c>
      <c r="D708" s="27">
        <v>1963</v>
      </c>
      <c r="E708" s="27" t="s">
        <v>39</v>
      </c>
      <c r="F708" s="25" t="s">
        <v>77</v>
      </c>
      <c r="G708" s="28">
        <v>5</v>
      </c>
      <c r="H708" s="28">
        <v>2</v>
      </c>
      <c r="I708" s="32">
        <v>1560.4</v>
      </c>
      <c r="J708" s="32">
        <v>1293.2</v>
      </c>
      <c r="K708" s="32">
        <v>1293.2</v>
      </c>
      <c r="L708" s="35">
        <v>73</v>
      </c>
      <c r="M708" s="31">
        <f t="shared" si="161"/>
        <v>5349744.7699999996</v>
      </c>
      <c r="N708" s="32">
        <v>0</v>
      </c>
      <c r="O708" s="32">
        <v>0</v>
      </c>
      <c r="P708" s="32">
        <v>0</v>
      </c>
      <c r="Q708" s="32">
        <f>'Таблица 3 '!C698</f>
        <v>5349744.7699999996</v>
      </c>
      <c r="R708" s="32">
        <f t="shared" si="162"/>
        <v>5349744.7699999996</v>
      </c>
      <c r="S708" s="29">
        <v>1</v>
      </c>
      <c r="T708" s="32">
        <f t="shared" si="136"/>
        <v>4136.8270723785954</v>
      </c>
      <c r="U708" s="83">
        <f t="shared" si="140"/>
        <v>4136.8270723785954</v>
      </c>
      <c r="V708" s="33" t="s">
        <v>569</v>
      </c>
    </row>
    <row r="709" spans="1:22" s="44" customFormat="1" ht="23.25" customHeight="1" x14ac:dyDescent="0.25">
      <c r="A709" s="322" t="s">
        <v>430</v>
      </c>
      <c r="B709" s="322"/>
      <c r="C709" s="18" t="s">
        <v>39</v>
      </c>
      <c r="D709" s="18" t="s">
        <v>39</v>
      </c>
      <c r="E709" s="19" t="s">
        <v>39</v>
      </c>
      <c r="F709" s="18" t="s">
        <v>39</v>
      </c>
      <c r="G709" s="20" t="s">
        <v>39</v>
      </c>
      <c r="H709" s="20" t="s">
        <v>39</v>
      </c>
      <c r="I709" s="84">
        <f t="shared" ref="I709:R709" si="163">SUM(I710:I716)</f>
        <v>20425.71</v>
      </c>
      <c r="J709" s="84">
        <f t="shared" si="163"/>
        <v>16482.82</v>
      </c>
      <c r="K709" s="84">
        <f t="shared" si="163"/>
        <v>13104.77</v>
      </c>
      <c r="L709" s="85">
        <f t="shared" si="163"/>
        <v>732</v>
      </c>
      <c r="M709" s="84">
        <f t="shared" si="163"/>
        <v>69476166.739999995</v>
      </c>
      <c r="N709" s="84">
        <f t="shared" si="163"/>
        <v>0</v>
      </c>
      <c r="O709" s="84">
        <f t="shared" si="163"/>
        <v>0</v>
      </c>
      <c r="P709" s="84">
        <f t="shared" si="163"/>
        <v>0</v>
      </c>
      <c r="Q709" s="84">
        <f t="shared" si="163"/>
        <v>69476166.739999995</v>
      </c>
      <c r="R709" s="84">
        <f t="shared" si="163"/>
        <v>69476166.739999995</v>
      </c>
      <c r="S709" s="84">
        <v>0</v>
      </c>
      <c r="T709" s="24" t="s">
        <v>39</v>
      </c>
      <c r="U709" s="24" t="s">
        <v>39</v>
      </c>
      <c r="V709" s="20" t="s">
        <v>39</v>
      </c>
    </row>
    <row r="710" spans="1:22" s="44" customFormat="1" ht="43.5" customHeight="1" x14ac:dyDescent="0.25">
      <c r="A710" s="25">
        <v>1</v>
      </c>
      <c r="B710" s="37" t="s">
        <v>431</v>
      </c>
      <c r="C710" s="25" t="s">
        <v>43</v>
      </c>
      <c r="D710" s="27" t="s">
        <v>213</v>
      </c>
      <c r="E710" s="27" t="s">
        <v>39</v>
      </c>
      <c r="F710" s="25" t="s">
        <v>77</v>
      </c>
      <c r="G710" s="28">
        <v>5</v>
      </c>
      <c r="H710" s="28">
        <v>6</v>
      </c>
      <c r="I710" s="31">
        <v>5895.8</v>
      </c>
      <c r="J710" s="31">
        <v>4456.3</v>
      </c>
      <c r="K710" s="31">
        <v>2839.5</v>
      </c>
      <c r="L710" s="30">
        <v>264</v>
      </c>
      <c r="M710" s="31">
        <f t="shared" ref="M710:M716" si="164">SUM(N710:Q710)</f>
        <v>24032694.039999999</v>
      </c>
      <c r="N710" s="29">
        <v>0</v>
      </c>
      <c r="O710" s="29">
        <v>0</v>
      </c>
      <c r="P710" s="29">
        <v>0</v>
      </c>
      <c r="Q710" s="32">
        <f>'Таблица 3 '!C700</f>
        <v>24032694.039999999</v>
      </c>
      <c r="R710" s="29">
        <f t="shared" ref="R710:R716" si="165">Q710</f>
        <v>24032694.039999999</v>
      </c>
      <c r="S710" s="29">
        <v>0</v>
      </c>
      <c r="T710" s="29">
        <f t="shared" si="136"/>
        <v>5392.9704104301773</v>
      </c>
      <c r="U710" s="29">
        <f t="shared" si="140"/>
        <v>5392.9704104301773</v>
      </c>
      <c r="V710" s="33" t="s">
        <v>569</v>
      </c>
    </row>
    <row r="711" spans="1:22" s="44" customFormat="1" ht="42.75" customHeight="1" x14ac:dyDescent="0.25">
      <c r="A711" s="25">
        <v>2</v>
      </c>
      <c r="B711" s="37" t="s">
        <v>432</v>
      </c>
      <c r="C711" s="25" t="s">
        <v>43</v>
      </c>
      <c r="D711" s="27">
        <v>1974</v>
      </c>
      <c r="E711" s="27">
        <v>2018</v>
      </c>
      <c r="F711" s="25" t="s">
        <v>48</v>
      </c>
      <c r="G711" s="28">
        <v>5</v>
      </c>
      <c r="H711" s="28">
        <v>4</v>
      </c>
      <c r="I711" s="31">
        <v>3992.91</v>
      </c>
      <c r="J711" s="31">
        <v>3283.6</v>
      </c>
      <c r="K711" s="31">
        <v>2227.86</v>
      </c>
      <c r="L711" s="30">
        <v>149</v>
      </c>
      <c r="M711" s="31">
        <f t="shared" si="164"/>
        <v>17447045.120000001</v>
      </c>
      <c r="N711" s="29">
        <v>0</v>
      </c>
      <c r="O711" s="29">
        <v>0</v>
      </c>
      <c r="P711" s="29">
        <v>0</v>
      </c>
      <c r="Q711" s="32">
        <f>'Таблица 3 '!C701</f>
        <v>17447045.120000001</v>
      </c>
      <c r="R711" s="29">
        <f t="shared" si="165"/>
        <v>17447045.120000001</v>
      </c>
      <c r="S711" s="29">
        <v>0</v>
      </c>
      <c r="T711" s="29">
        <f t="shared" si="136"/>
        <v>5313.3893044219767</v>
      </c>
      <c r="U711" s="29">
        <f t="shared" si="140"/>
        <v>5313.3893044219767</v>
      </c>
      <c r="V711" s="33" t="s">
        <v>569</v>
      </c>
    </row>
    <row r="712" spans="1:22" s="44" customFormat="1" ht="42" customHeight="1" x14ac:dyDescent="0.25">
      <c r="A712" s="25">
        <v>3</v>
      </c>
      <c r="B712" s="37" t="s">
        <v>433</v>
      </c>
      <c r="C712" s="25" t="s">
        <v>43</v>
      </c>
      <c r="D712" s="25">
        <v>1992</v>
      </c>
      <c r="E712" s="27">
        <v>2024</v>
      </c>
      <c r="F712" s="25" t="s">
        <v>48</v>
      </c>
      <c r="G712" s="28">
        <v>5</v>
      </c>
      <c r="H712" s="28">
        <v>3</v>
      </c>
      <c r="I712" s="83">
        <v>3726.7</v>
      </c>
      <c r="J712" s="83">
        <v>3184.6</v>
      </c>
      <c r="K712" s="83">
        <v>2764.86</v>
      </c>
      <c r="L712" s="35">
        <v>110</v>
      </c>
      <c r="M712" s="31">
        <f t="shared" si="164"/>
        <v>2559721.6700000004</v>
      </c>
      <c r="N712" s="29">
        <v>0</v>
      </c>
      <c r="O712" s="29">
        <v>0</v>
      </c>
      <c r="P712" s="29">
        <v>0</v>
      </c>
      <c r="Q712" s="32">
        <f>'Таблица 3 '!C702</f>
        <v>2559721.6700000004</v>
      </c>
      <c r="R712" s="29">
        <f t="shared" si="165"/>
        <v>2559721.6700000004</v>
      </c>
      <c r="S712" s="32">
        <v>0</v>
      </c>
      <c r="T712" s="29">
        <f t="shared" si="136"/>
        <v>803.78121899139626</v>
      </c>
      <c r="U712" s="29">
        <f t="shared" si="140"/>
        <v>803.78121899139626</v>
      </c>
      <c r="V712" s="33" t="s">
        <v>569</v>
      </c>
    </row>
    <row r="713" spans="1:22" s="44" customFormat="1" ht="42" customHeight="1" x14ac:dyDescent="0.25">
      <c r="A713" s="25">
        <v>4</v>
      </c>
      <c r="B713" s="37" t="s">
        <v>434</v>
      </c>
      <c r="C713" s="25" t="s">
        <v>43</v>
      </c>
      <c r="D713" s="25">
        <v>1979</v>
      </c>
      <c r="E713" s="27">
        <v>2019</v>
      </c>
      <c r="F713" s="25" t="s">
        <v>77</v>
      </c>
      <c r="G713" s="28">
        <v>2</v>
      </c>
      <c r="H713" s="28">
        <v>2</v>
      </c>
      <c r="I713" s="87">
        <v>583.85</v>
      </c>
      <c r="J713" s="83">
        <v>499.05</v>
      </c>
      <c r="K713" s="83">
        <v>499.05</v>
      </c>
      <c r="L713" s="35">
        <v>18</v>
      </c>
      <c r="M713" s="31">
        <f t="shared" si="164"/>
        <v>1746358.69</v>
      </c>
      <c r="N713" s="29">
        <v>0</v>
      </c>
      <c r="O713" s="29">
        <v>0</v>
      </c>
      <c r="P713" s="29">
        <v>0</v>
      </c>
      <c r="Q713" s="32">
        <f>'Таблица 3 '!C703</f>
        <v>1746358.69</v>
      </c>
      <c r="R713" s="29">
        <f t="shared" si="165"/>
        <v>1746358.69</v>
      </c>
      <c r="S713" s="32">
        <v>0</v>
      </c>
      <c r="T713" s="29">
        <f t="shared" si="136"/>
        <v>3499.3661757338941</v>
      </c>
      <c r="U713" s="29">
        <f t="shared" si="140"/>
        <v>3499.3661757338941</v>
      </c>
      <c r="V713" s="33" t="s">
        <v>569</v>
      </c>
    </row>
    <row r="714" spans="1:22" s="44" customFormat="1" ht="42" customHeight="1" x14ac:dyDescent="0.25">
      <c r="A714" s="25">
        <v>5</v>
      </c>
      <c r="B714" s="37" t="s">
        <v>686</v>
      </c>
      <c r="C714" s="25" t="s">
        <v>43</v>
      </c>
      <c r="D714" s="25">
        <v>1976</v>
      </c>
      <c r="E714" s="27">
        <v>2016</v>
      </c>
      <c r="F714" s="25" t="s">
        <v>77</v>
      </c>
      <c r="G714" s="28">
        <v>2</v>
      </c>
      <c r="H714" s="28">
        <v>1</v>
      </c>
      <c r="I714" s="87">
        <v>391.75</v>
      </c>
      <c r="J714" s="83">
        <v>368.85</v>
      </c>
      <c r="K714" s="83">
        <v>368.85</v>
      </c>
      <c r="L714" s="35">
        <v>19</v>
      </c>
      <c r="M714" s="31">
        <f t="shared" si="164"/>
        <v>265594</v>
      </c>
      <c r="N714" s="29">
        <v>0</v>
      </c>
      <c r="O714" s="29">
        <v>0</v>
      </c>
      <c r="P714" s="29">
        <v>0</v>
      </c>
      <c r="Q714" s="32">
        <f>'Таблица 3 '!C704</f>
        <v>265594</v>
      </c>
      <c r="R714" s="29">
        <f t="shared" si="165"/>
        <v>265594</v>
      </c>
      <c r="S714" s="32">
        <v>0</v>
      </c>
      <c r="T714" s="29">
        <f t="shared" si="136"/>
        <v>720.05964484207664</v>
      </c>
      <c r="U714" s="29">
        <f t="shared" si="140"/>
        <v>720.05964484207664</v>
      </c>
      <c r="V714" s="33" t="s">
        <v>569</v>
      </c>
    </row>
    <row r="715" spans="1:22" s="44" customFormat="1" ht="42" customHeight="1" x14ac:dyDescent="0.25">
      <c r="A715" s="25">
        <v>6</v>
      </c>
      <c r="B715" s="37" t="s">
        <v>687</v>
      </c>
      <c r="C715" s="25" t="s">
        <v>43</v>
      </c>
      <c r="D715" s="27" t="s">
        <v>266</v>
      </c>
      <c r="E715" s="27" t="s">
        <v>39</v>
      </c>
      <c r="F715" s="25" t="s">
        <v>77</v>
      </c>
      <c r="G715" s="28">
        <v>5</v>
      </c>
      <c r="H715" s="28">
        <v>4</v>
      </c>
      <c r="I715" s="98">
        <v>4161.7</v>
      </c>
      <c r="J715" s="31">
        <v>3159.62</v>
      </c>
      <c r="K715" s="31">
        <v>2948.25</v>
      </c>
      <c r="L715" s="30">
        <v>133</v>
      </c>
      <c r="M715" s="31">
        <f t="shared" si="164"/>
        <v>19488344.509999998</v>
      </c>
      <c r="N715" s="29">
        <v>0</v>
      </c>
      <c r="O715" s="29">
        <v>0</v>
      </c>
      <c r="P715" s="29">
        <v>0</v>
      </c>
      <c r="Q715" s="32">
        <f>'Таблица 3 '!C705</f>
        <v>19488344.509999998</v>
      </c>
      <c r="R715" s="29">
        <f t="shared" si="165"/>
        <v>19488344.509999998</v>
      </c>
      <c r="S715" s="29">
        <v>0</v>
      </c>
      <c r="T715" s="29">
        <f t="shared" si="136"/>
        <v>6167.9393439717433</v>
      </c>
      <c r="U715" s="29">
        <f t="shared" si="140"/>
        <v>6167.9393439717433</v>
      </c>
      <c r="V715" s="33" t="s">
        <v>569</v>
      </c>
    </row>
    <row r="716" spans="1:22" s="44" customFormat="1" ht="42" customHeight="1" x14ac:dyDescent="0.25">
      <c r="A716" s="25">
        <v>7</v>
      </c>
      <c r="B716" s="37" t="s">
        <v>688</v>
      </c>
      <c r="C716" s="25" t="s">
        <v>43</v>
      </c>
      <c r="D716" s="25">
        <v>1993</v>
      </c>
      <c r="E716" s="27">
        <v>2019</v>
      </c>
      <c r="F716" s="25" t="s">
        <v>77</v>
      </c>
      <c r="G716" s="28">
        <v>3</v>
      </c>
      <c r="H716" s="28">
        <v>3</v>
      </c>
      <c r="I716" s="87">
        <v>1673</v>
      </c>
      <c r="J716" s="83">
        <v>1530.8</v>
      </c>
      <c r="K716" s="83">
        <v>1456.4</v>
      </c>
      <c r="L716" s="35">
        <v>39</v>
      </c>
      <c r="M716" s="31">
        <f t="shared" si="164"/>
        <v>3936408.71</v>
      </c>
      <c r="N716" s="29">
        <v>0</v>
      </c>
      <c r="O716" s="29">
        <v>0</v>
      </c>
      <c r="P716" s="29">
        <v>0</v>
      </c>
      <c r="Q716" s="32">
        <f>'Таблица 3 '!C706</f>
        <v>3936408.71</v>
      </c>
      <c r="R716" s="29">
        <f t="shared" si="165"/>
        <v>3936408.71</v>
      </c>
      <c r="S716" s="32">
        <v>0</v>
      </c>
      <c r="T716" s="32">
        <f t="shared" si="136"/>
        <v>2571.471590018291</v>
      </c>
      <c r="U716" s="32">
        <f t="shared" si="140"/>
        <v>2571.471590018291</v>
      </c>
      <c r="V716" s="33" t="s">
        <v>569</v>
      </c>
    </row>
    <row r="717" spans="1:22" s="44" customFormat="1" ht="27.75" customHeight="1" x14ac:dyDescent="0.25">
      <c r="A717" s="322" t="s">
        <v>436</v>
      </c>
      <c r="B717" s="322"/>
      <c r="C717" s="18" t="s">
        <v>39</v>
      </c>
      <c r="D717" s="18" t="s">
        <v>39</v>
      </c>
      <c r="E717" s="19" t="s">
        <v>39</v>
      </c>
      <c r="F717" s="18" t="s">
        <v>39</v>
      </c>
      <c r="G717" s="20" t="s">
        <v>39</v>
      </c>
      <c r="H717" s="20" t="s">
        <v>39</v>
      </c>
      <c r="I717" s="60">
        <f t="shared" ref="I717:S717" si="166">SUM(I718:I740)</f>
        <v>67707.860000000015</v>
      </c>
      <c r="J717" s="60">
        <f t="shared" si="166"/>
        <v>55359.479999999996</v>
      </c>
      <c r="K717" s="60">
        <f t="shared" si="166"/>
        <v>18306.38</v>
      </c>
      <c r="L717" s="61">
        <f t="shared" si="166"/>
        <v>2032</v>
      </c>
      <c r="M717" s="60">
        <f t="shared" si="166"/>
        <v>303435228.97999996</v>
      </c>
      <c r="N717" s="60">
        <f t="shared" si="166"/>
        <v>0</v>
      </c>
      <c r="O717" s="60">
        <f t="shared" si="166"/>
        <v>0</v>
      </c>
      <c r="P717" s="60">
        <f t="shared" si="166"/>
        <v>0</v>
      </c>
      <c r="Q717" s="60">
        <f t="shared" si="166"/>
        <v>303435228.97999996</v>
      </c>
      <c r="R717" s="60">
        <f t="shared" si="166"/>
        <v>303435228.97999996</v>
      </c>
      <c r="S717" s="60">
        <f t="shared" si="166"/>
        <v>0</v>
      </c>
      <c r="T717" s="24" t="s">
        <v>39</v>
      </c>
      <c r="U717" s="24" t="s">
        <v>39</v>
      </c>
      <c r="V717" s="20" t="s">
        <v>39</v>
      </c>
    </row>
    <row r="718" spans="1:22" s="44" customFormat="1" ht="44.25" customHeight="1" x14ac:dyDescent="0.25">
      <c r="A718" s="25">
        <v>1</v>
      </c>
      <c r="B718" s="37" t="s">
        <v>689</v>
      </c>
      <c r="C718" s="25" t="s">
        <v>43</v>
      </c>
      <c r="D718" s="25">
        <v>1963</v>
      </c>
      <c r="E718" s="27" t="s">
        <v>39</v>
      </c>
      <c r="F718" s="25" t="s">
        <v>44</v>
      </c>
      <c r="G718" s="28">
        <v>2</v>
      </c>
      <c r="H718" s="28">
        <v>2</v>
      </c>
      <c r="I718" s="29">
        <v>323.10000000000002</v>
      </c>
      <c r="J718" s="29">
        <v>284.2</v>
      </c>
      <c r="K718" s="29">
        <v>251.7</v>
      </c>
      <c r="L718" s="30">
        <v>30</v>
      </c>
      <c r="M718" s="31">
        <f t="shared" ref="M718:M740" si="167">SUM(N718:Q718)</f>
        <v>2881614.3</v>
      </c>
      <c r="N718" s="29">
        <v>0</v>
      </c>
      <c r="O718" s="29">
        <v>0</v>
      </c>
      <c r="P718" s="29">
        <v>0</v>
      </c>
      <c r="Q718" s="29">
        <f>'Таблица 3 '!C708</f>
        <v>2881614.3</v>
      </c>
      <c r="R718" s="29">
        <f t="shared" ref="R718:R740" si="168">Q718</f>
        <v>2881614.3</v>
      </c>
      <c r="S718" s="29">
        <v>0</v>
      </c>
      <c r="T718" s="29">
        <f t="shared" si="136"/>
        <v>10139.388810696692</v>
      </c>
      <c r="U718" s="29">
        <f t="shared" si="140"/>
        <v>10139.388810696692</v>
      </c>
      <c r="V718" s="33" t="s">
        <v>569</v>
      </c>
    </row>
    <row r="719" spans="1:22" s="44" customFormat="1" ht="44.25" customHeight="1" x14ac:dyDescent="0.25">
      <c r="A719" s="25">
        <v>2</v>
      </c>
      <c r="B719" s="37" t="s">
        <v>690</v>
      </c>
      <c r="C719" s="25" t="s">
        <v>43</v>
      </c>
      <c r="D719" s="25">
        <v>1964</v>
      </c>
      <c r="E719" s="27" t="s">
        <v>39</v>
      </c>
      <c r="F719" s="25" t="s">
        <v>456</v>
      </c>
      <c r="G719" s="28">
        <v>2</v>
      </c>
      <c r="H719" s="28">
        <v>2</v>
      </c>
      <c r="I719" s="29">
        <v>269</v>
      </c>
      <c r="J719" s="29">
        <v>278.8</v>
      </c>
      <c r="K719" s="29">
        <v>278.8</v>
      </c>
      <c r="L719" s="30">
        <v>22</v>
      </c>
      <c r="M719" s="31">
        <f t="shared" si="167"/>
        <v>650454.29</v>
      </c>
      <c r="N719" s="29">
        <v>0</v>
      </c>
      <c r="O719" s="29">
        <v>0</v>
      </c>
      <c r="P719" s="29">
        <v>0</v>
      </c>
      <c r="Q719" s="29">
        <f>'Таблица 3 '!C709</f>
        <v>650454.29</v>
      </c>
      <c r="R719" s="29">
        <f t="shared" si="168"/>
        <v>650454.29</v>
      </c>
      <c r="S719" s="29">
        <v>0</v>
      </c>
      <c r="T719" s="29">
        <f t="shared" si="136"/>
        <v>2333.0498206599714</v>
      </c>
      <c r="U719" s="29">
        <f t="shared" si="140"/>
        <v>2333.0498206599714</v>
      </c>
      <c r="V719" s="33" t="s">
        <v>569</v>
      </c>
    </row>
    <row r="720" spans="1:22" s="44" customFormat="1" ht="44.25" customHeight="1" x14ac:dyDescent="0.25">
      <c r="A720" s="25">
        <v>3</v>
      </c>
      <c r="B720" s="37" t="s">
        <v>691</v>
      </c>
      <c r="C720" s="25" t="s">
        <v>43</v>
      </c>
      <c r="D720" s="25">
        <v>1972</v>
      </c>
      <c r="E720" s="27" t="s">
        <v>39</v>
      </c>
      <c r="F720" s="25" t="s">
        <v>44</v>
      </c>
      <c r="G720" s="28">
        <v>2</v>
      </c>
      <c r="H720" s="28">
        <v>2</v>
      </c>
      <c r="I720" s="29">
        <v>762.9</v>
      </c>
      <c r="J720" s="29">
        <v>736</v>
      </c>
      <c r="K720" s="29">
        <v>609.9</v>
      </c>
      <c r="L720" s="30">
        <v>31</v>
      </c>
      <c r="M720" s="31">
        <f t="shared" si="167"/>
        <v>2343584.79</v>
      </c>
      <c r="N720" s="29">
        <v>0</v>
      </c>
      <c r="O720" s="29">
        <v>0</v>
      </c>
      <c r="P720" s="29">
        <v>0</v>
      </c>
      <c r="Q720" s="29">
        <f>'Таблица 3 '!C710</f>
        <v>2343584.79</v>
      </c>
      <c r="R720" s="29">
        <f t="shared" si="168"/>
        <v>2343584.79</v>
      </c>
      <c r="S720" s="29">
        <v>0</v>
      </c>
      <c r="T720" s="29">
        <f t="shared" si="136"/>
        <v>3184.2184646739129</v>
      </c>
      <c r="U720" s="29">
        <f t="shared" si="140"/>
        <v>3184.2184646739129</v>
      </c>
      <c r="V720" s="33" t="s">
        <v>569</v>
      </c>
    </row>
    <row r="721" spans="1:22" s="44" customFormat="1" ht="44.25" customHeight="1" x14ac:dyDescent="0.25">
      <c r="A721" s="25">
        <v>4</v>
      </c>
      <c r="B721" s="37" t="s">
        <v>692</v>
      </c>
      <c r="C721" s="25" t="s">
        <v>43</v>
      </c>
      <c r="D721" s="25">
        <v>1967</v>
      </c>
      <c r="E721" s="27" t="s">
        <v>39</v>
      </c>
      <c r="F721" s="25" t="s">
        <v>456</v>
      </c>
      <c r="G721" s="28">
        <v>2</v>
      </c>
      <c r="H721" s="28">
        <v>2</v>
      </c>
      <c r="I721" s="29">
        <v>627.29999999999995</v>
      </c>
      <c r="J721" s="29">
        <v>595.20000000000005</v>
      </c>
      <c r="K721" s="29">
        <v>556.20000000000005</v>
      </c>
      <c r="L721" s="30">
        <v>31</v>
      </c>
      <c r="M721" s="31">
        <f t="shared" si="167"/>
        <v>5744324.7700000005</v>
      </c>
      <c r="N721" s="29">
        <v>0</v>
      </c>
      <c r="O721" s="29">
        <v>0</v>
      </c>
      <c r="P721" s="29">
        <v>0</v>
      </c>
      <c r="Q721" s="29">
        <f>'Таблица 3 '!C711</f>
        <v>5744324.7700000005</v>
      </c>
      <c r="R721" s="29">
        <f t="shared" si="168"/>
        <v>5744324.7700000005</v>
      </c>
      <c r="S721" s="29">
        <v>0</v>
      </c>
      <c r="T721" s="29">
        <f t="shared" si="136"/>
        <v>9651.0832829301071</v>
      </c>
      <c r="U721" s="29">
        <f t="shared" si="140"/>
        <v>9651.0832829301071</v>
      </c>
      <c r="V721" s="33" t="s">
        <v>569</v>
      </c>
    </row>
    <row r="722" spans="1:22" s="44" customFormat="1" ht="44.25" customHeight="1" x14ac:dyDescent="0.25">
      <c r="A722" s="25">
        <v>5</v>
      </c>
      <c r="B722" s="37" t="s">
        <v>693</v>
      </c>
      <c r="C722" s="25" t="s">
        <v>43</v>
      </c>
      <c r="D722" s="25">
        <v>1983</v>
      </c>
      <c r="E722" s="27" t="s">
        <v>39</v>
      </c>
      <c r="F722" s="25" t="s">
        <v>44</v>
      </c>
      <c r="G722" s="28">
        <v>2</v>
      </c>
      <c r="H722" s="28">
        <v>3</v>
      </c>
      <c r="I722" s="29">
        <v>926.1</v>
      </c>
      <c r="J722" s="29">
        <v>909.8</v>
      </c>
      <c r="K722" s="29">
        <v>909.8</v>
      </c>
      <c r="L722" s="30">
        <v>51</v>
      </c>
      <c r="M722" s="31">
        <f t="shared" si="167"/>
        <v>3464140.38</v>
      </c>
      <c r="N722" s="29">
        <v>0</v>
      </c>
      <c r="O722" s="29">
        <v>0</v>
      </c>
      <c r="P722" s="29">
        <v>0</v>
      </c>
      <c r="Q722" s="29">
        <f>'Таблица 3 '!C712</f>
        <v>3464140.38</v>
      </c>
      <c r="R722" s="29">
        <f t="shared" si="168"/>
        <v>3464140.38</v>
      </c>
      <c r="S722" s="29">
        <v>0</v>
      </c>
      <c r="T722" s="29">
        <f t="shared" si="136"/>
        <v>3807.5845020883712</v>
      </c>
      <c r="U722" s="29">
        <f t="shared" si="140"/>
        <v>3807.5845020883712</v>
      </c>
      <c r="V722" s="33" t="s">
        <v>569</v>
      </c>
    </row>
    <row r="723" spans="1:22" s="44" customFormat="1" ht="44.25" customHeight="1" x14ac:dyDescent="0.25">
      <c r="A723" s="25">
        <v>6</v>
      </c>
      <c r="B723" s="37" t="s">
        <v>694</v>
      </c>
      <c r="C723" s="25" t="s">
        <v>43</v>
      </c>
      <c r="D723" s="25">
        <v>1956</v>
      </c>
      <c r="E723" s="27" t="s">
        <v>39</v>
      </c>
      <c r="F723" s="25" t="s">
        <v>456</v>
      </c>
      <c r="G723" s="28">
        <v>2</v>
      </c>
      <c r="H723" s="28">
        <v>2</v>
      </c>
      <c r="I723" s="29">
        <v>500.7</v>
      </c>
      <c r="J723" s="29">
        <v>495.2</v>
      </c>
      <c r="K723" s="29">
        <v>495.2</v>
      </c>
      <c r="L723" s="30">
        <v>36</v>
      </c>
      <c r="M723" s="31">
        <f t="shared" si="167"/>
        <v>4558245.0900000008</v>
      </c>
      <c r="N723" s="29">
        <v>0</v>
      </c>
      <c r="O723" s="29">
        <v>0</v>
      </c>
      <c r="P723" s="29">
        <v>0</v>
      </c>
      <c r="Q723" s="29">
        <f>'Таблица 3 '!C713</f>
        <v>4558245.0900000008</v>
      </c>
      <c r="R723" s="29">
        <f t="shared" si="168"/>
        <v>4558245.0900000008</v>
      </c>
      <c r="S723" s="29">
        <v>0</v>
      </c>
      <c r="T723" s="29">
        <f t="shared" si="136"/>
        <v>9204.856805331181</v>
      </c>
      <c r="U723" s="29">
        <f t="shared" si="140"/>
        <v>9204.856805331181</v>
      </c>
      <c r="V723" s="33" t="s">
        <v>569</v>
      </c>
    </row>
    <row r="724" spans="1:22" s="44" customFormat="1" ht="45" customHeight="1" x14ac:dyDescent="0.25">
      <c r="A724" s="25">
        <v>7</v>
      </c>
      <c r="B724" s="37" t="s">
        <v>439</v>
      </c>
      <c r="C724" s="25" t="s">
        <v>43</v>
      </c>
      <c r="D724" s="25">
        <v>1984</v>
      </c>
      <c r="E724" s="27" t="s">
        <v>39</v>
      </c>
      <c r="F724" s="25" t="s">
        <v>44</v>
      </c>
      <c r="G724" s="28">
        <v>2</v>
      </c>
      <c r="H724" s="28">
        <v>2</v>
      </c>
      <c r="I724" s="29">
        <v>536.9</v>
      </c>
      <c r="J724" s="29">
        <v>536.9</v>
      </c>
      <c r="K724" s="29">
        <v>536.9</v>
      </c>
      <c r="L724" s="30">
        <v>15</v>
      </c>
      <c r="M724" s="31">
        <f t="shared" si="167"/>
        <v>3017412.87</v>
      </c>
      <c r="N724" s="29">
        <v>0</v>
      </c>
      <c r="O724" s="29">
        <v>0</v>
      </c>
      <c r="P724" s="29">
        <v>0</v>
      </c>
      <c r="Q724" s="29">
        <f>'Таблица 3 '!C714</f>
        <v>3017412.87</v>
      </c>
      <c r="R724" s="29">
        <f t="shared" si="168"/>
        <v>3017412.87</v>
      </c>
      <c r="S724" s="29">
        <v>0</v>
      </c>
      <c r="T724" s="29">
        <f t="shared" si="136"/>
        <v>5620.0649469174896</v>
      </c>
      <c r="U724" s="29">
        <f t="shared" si="140"/>
        <v>5620.0649469174896</v>
      </c>
      <c r="V724" s="33" t="s">
        <v>569</v>
      </c>
    </row>
    <row r="725" spans="1:22" s="44" customFormat="1" ht="45" customHeight="1" x14ac:dyDescent="0.25">
      <c r="A725" s="25">
        <v>8</v>
      </c>
      <c r="B725" s="38" t="s">
        <v>695</v>
      </c>
      <c r="C725" s="25" t="s">
        <v>43</v>
      </c>
      <c r="D725" s="25">
        <v>2003</v>
      </c>
      <c r="E725" s="27" t="s">
        <v>39</v>
      </c>
      <c r="F725" s="25" t="s">
        <v>48</v>
      </c>
      <c r="G725" s="28">
        <v>3</v>
      </c>
      <c r="H725" s="28">
        <v>1</v>
      </c>
      <c r="I725" s="29">
        <v>736.4</v>
      </c>
      <c r="J725" s="29">
        <v>731.18</v>
      </c>
      <c r="K725" s="29">
        <v>652.67999999999995</v>
      </c>
      <c r="L725" s="30">
        <v>26</v>
      </c>
      <c r="M725" s="31">
        <f t="shared" si="167"/>
        <v>1540151.62</v>
      </c>
      <c r="N725" s="29">
        <v>0</v>
      </c>
      <c r="O725" s="29">
        <v>0</v>
      </c>
      <c r="P725" s="29">
        <v>0</v>
      </c>
      <c r="Q725" s="29">
        <f>'Таблица 3 '!C715</f>
        <v>1540151.62</v>
      </c>
      <c r="R725" s="29">
        <f t="shared" si="168"/>
        <v>1540151.62</v>
      </c>
      <c r="S725" s="29">
        <v>0</v>
      </c>
      <c r="T725" s="29">
        <f t="shared" ref="T725:T788" si="169">M725/J725</f>
        <v>2106.3918870866273</v>
      </c>
      <c r="U725" s="29">
        <f t="shared" si="140"/>
        <v>2106.3918870866273</v>
      </c>
      <c r="V725" s="33" t="s">
        <v>569</v>
      </c>
    </row>
    <row r="726" spans="1:22" s="44" customFormat="1" ht="45" customHeight="1" x14ac:dyDescent="0.25">
      <c r="A726" s="25">
        <v>9</v>
      </c>
      <c r="B726" s="38" t="s">
        <v>443</v>
      </c>
      <c r="C726" s="25" t="s">
        <v>43</v>
      </c>
      <c r="D726" s="25">
        <v>1992</v>
      </c>
      <c r="E726" s="27" t="s">
        <v>39</v>
      </c>
      <c r="F726" s="25" t="s">
        <v>48</v>
      </c>
      <c r="G726" s="28">
        <v>5</v>
      </c>
      <c r="H726" s="28">
        <v>3</v>
      </c>
      <c r="I726" s="29">
        <v>4309</v>
      </c>
      <c r="J726" s="29">
        <v>3415.2</v>
      </c>
      <c r="K726" s="29">
        <v>3179</v>
      </c>
      <c r="L726" s="30">
        <v>143</v>
      </c>
      <c r="M726" s="31">
        <f t="shared" si="167"/>
        <v>350382</v>
      </c>
      <c r="N726" s="29">
        <v>0</v>
      </c>
      <c r="O726" s="29">
        <v>0</v>
      </c>
      <c r="P726" s="29">
        <v>0</v>
      </c>
      <c r="Q726" s="29">
        <f>'Таблица 3 '!C716</f>
        <v>350382</v>
      </c>
      <c r="R726" s="29">
        <f t="shared" si="168"/>
        <v>350382</v>
      </c>
      <c r="S726" s="29">
        <v>0</v>
      </c>
      <c r="T726" s="29">
        <f t="shared" si="169"/>
        <v>102.5948699929726</v>
      </c>
      <c r="U726" s="29">
        <f t="shared" si="140"/>
        <v>102.5948699929726</v>
      </c>
      <c r="V726" s="33" t="s">
        <v>569</v>
      </c>
    </row>
    <row r="727" spans="1:22" s="44" customFormat="1" ht="45" customHeight="1" x14ac:dyDescent="0.25">
      <c r="A727" s="25">
        <v>10</v>
      </c>
      <c r="B727" s="38" t="s">
        <v>446</v>
      </c>
      <c r="C727" s="25" t="s">
        <v>43</v>
      </c>
      <c r="D727" s="25">
        <v>1995</v>
      </c>
      <c r="E727" s="27" t="s">
        <v>39</v>
      </c>
      <c r="F727" s="25" t="s">
        <v>48</v>
      </c>
      <c r="G727" s="28">
        <v>9</v>
      </c>
      <c r="H727" s="28">
        <v>3</v>
      </c>
      <c r="I727" s="29">
        <v>8055</v>
      </c>
      <c r="J727" s="29">
        <v>6345.8</v>
      </c>
      <c r="K727" s="29">
        <v>5909.5</v>
      </c>
      <c r="L727" s="30">
        <v>260</v>
      </c>
      <c r="M727" s="31">
        <f t="shared" si="167"/>
        <v>33723765.420000002</v>
      </c>
      <c r="N727" s="29">
        <v>0</v>
      </c>
      <c r="O727" s="29">
        <v>0</v>
      </c>
      <c r="P727" s="29">
        <v>0</v>
      </c>
      <c r="Q727" s="29">
        <f>'Таблица 3 '!C717</f>
        <v>33723765.420000002</v>
      </c>
      <c r="R727" s="29">
        <f t="shared" si="168"/>
        <v>33723765.420000002</v>
      </c>
      <c r="S727" s="29">
        <v>0</v>
      </c>
      <c r="T727" s="29">
        <f t="shared" si="169"/>
        <v>5314.3441993129318</v>
      </c>
      <c r="U727" s="29">
        <f t="shared" ref="U727:U790" si="170">T727</f>
        <v>5314.3441993129318</v>
      </c>
      <c r="V727" s="33" t="s">
        <v>569</v>
      </c>
    </row>
    <row r="728" spans="1:22" s="44" customFormat="1" ht="45" customHeight="1" x14ac:dyDescent="0.25">
      <c r="A728" s="25">
        <v>11</v>
      </c>
      <c r="B728" s="37" t="s">
        <v>696</v>
      </c>
      <c r="C728" s="25" t="s">
        <v>43</v>
      </c>
      <c r="D728" s="25">
        <v>1954</v>
      </c>
      <c r="E728" s="27" t="s">
        <v>39</v>
      </c>
      <c r="F728" s="25" t="s">
        <v>44</v>
      </c>
      <c r="G728" s="28">
        <v>2</v>
      </c>
      <c r="H728" s="28">
        <v>2</v>
      </c>
      <c r="I728" s="29">
        <v>1229.06</v>
      </c>
      <c r="J728" s="89">
        <v>805.2</v>
      </c>
      <c r="K728" s="89">
        <v>0</v>
      </c>
      <c r="L728" s="90">
        <v>23</v>
      </c>
      <c r="M728" s="31">
        <f t="shared" si="167"/>
        <v>7677344.7000000002</v>
      </c>
      <c r="N728" s="29">
        <v>0</v>
      </c>
      <c r="O728" s="29">
        <v>0</v>
      </c>
      <c r="P728" s="29">
        <v>0</v>
      </c>
      <c r="Q728" s="29">
        <f>'Таблица 3 '!C718</f>
        <v>7677344.7000000002</v>
      </c>
      <c r="R728" s="29">
        <f t="shared" si="168"/>
        <v>7677344.7000000002</v>
      </c>
      <c r="S728" s="29">
        <v>0</v>
      </c>
      <c r="T728" s="29">
        <f t="shared" si="169"/>
        <v>9534.7052906110275</v>
      </c>
      <c r="U728" s="29">
        <f t="shared" si="170"/>
        <v>9534.7052906110275</v>
      </c>
      <c r="V728" s="33" t="s">
        <v>569</v>
      </c>
    </row>
    <row r="729" spans="1:22" s="44" customFormat="1" ht="45" customHeight="1" x14ac:dyDescent="0.25">
      <c r="A729" s="25">
        <v>12</v>
      </c>
      <c r="B729" s="37" t="s">
        <v>697</v>
      </c>
      <c r="C729" s="25" t="s">
        <v>43</v>
      </c>
      <c r="D729" s="25">
        <v>1978</v>
      </c>
      <c r="E729" s="27" t="s">
        <v>39</v>
      </c>
      <c r="F729" s="25" t="s">
        <v>44</v>
      </c>
      <c r="G729" s="28">
        <v>5</v>
      </c>
      <c r="H729" s="28">
        <v>5</v>
      </c>
      <c r="I729" s="29">
        <v>5512.88</v>
      </c>
      <c r="J729" s="89">
        <v>4424.8</v>
      </c>
      <c r="K729" s="89">
        <v>4424.8</v>
      </c>
      <c r="L729" s="90">
        <v>191</v>
      </c>
      <c r="M729" s="31">
        <f t="shared" si="167"/>
        <v>25799634.240000002</v>
      </c>
      <c r="N729" s="29">
        <v>0</v>
      </c>
      <c r="O729" s="29">
        <v>0</v>
      </c>
      <c r="P729" s="29">
        <v>0</v>
      </c>
      <c r="Q729" s="29">
        <f>'Таблица 3 '!C719</f>
        <v>25799634.240000002</v>
      </c>
      <c r="R729" s="29">
        <f t="shared" si="168"/>
        <v>25799634.240000002</v>
      </c>
      <c r="S729" s="29">
        <v>0</v>
      </c>
      <c r="T729" s="29">
        <f t="shared" si="169"/>
        <v>5830.6893509311158</v>
      </c>
      <c r="U729" s="29">
        <f t="shared" si="170"/>
        <v>5830.6893509311158</v>
      </c>
      <c r="V729" s="33" t="s">
        <v>569</v>
      </c>
    </row>
    <row r="730" spans="1:22" s="44" customFormat="1" ht="45" customHeight="1" x14ac:dyDescent="0.25">
      <c r="A730" s="25">
        <v>13</v>
      </c>
      <c r="B730" s="37" t="s">
        <v>698</v>
      </c>
      <c r="C730" s="25" t="s">
        <v>43</v>
      </c>
      <c r="D730" s="25">
        <v>1981</v>
      </c>
      <c r="E730" s="27" t="s">
        <v>39</v>
      </c>
      <c r="F730" s="25" t="s">
        <v>44</v>
      </c>
      <c r="G730" s="28">
        <v>5</v>
      </c>
      <c r="H730" s="28">
        <v>5</v>
      </c>
      <c r="I730" s="29">
        <v>5418.92</v>
      </c>
      <c r="J730" s="89">
        <v>5166.5</v>
      </c>
      <c r="K730" s="89">
        <v>116</v>
      </c>
      <c r="L730" s="90">
        <v>137</v>
      </c>
      <c r="M730" s="31">
        <f t="shared" si="167"/>
        <v>30065524.32</v>
      </c>
      <c r="N730" s="29">
        <v>0</v>
      </c>
      <c r="O730" s="29">
        <v>0</v>
      </c>
      <c r="P730" s="29">
        <v>0</v>
      </c>
      <c r="Q730" s="29">
        <f>'Таблица 3 '!C720</f>
        <v>30065524.32</v>
      </c>
      <c r="R730" s="29">
        <f t="shared" si="168"/>
        <v>30065524.32</v>
      </c>
      <c r="S730" s="29">
        <v>0</v>
      </c>
      <c r="T730" s="29">
        <f t="shared" si="169"/>
        <v>5819.3214594019164</v>
      </c>
      <c r="U730" s="29">
        <f t="shared" si="170"/>
        <v>5819.3214594019164</v>
      </c>
      <c r="V730" s="33" t="s">
        <v>569</v>
      </c>
    </row>
    <row r="731" spans="1:22" s="44" customFormat="1" ht="45" customHeight="1" x14ac:dyDescent="0.25">
      <c r="A731" s="25">
        <v>14</v>
      </c>
      <c r="B731" s="37" t="s">
        <v>699</v>
      </c>
      <c r="C731" s="25" t="s">
        <v>43</v>
      </c>
      <c r="D731" s="25">
        <v>1966</v>
      </c>
      <c r="E731" s="27" t="s">
        <v>39</v>
      </c>
      <c r="F731" s="25" t="s">
        <v>44</v>
      </c>
      <c r="G731" s="28">
        <v>4</v>
      </c>
      <c r="H731" s="28">
        <v>3</v>
      </c>
      <c r="I731" s="29">
        <v>3527.6</v>
      </c>
      <c r="J731" s="89">
        <v>2691.5</v>
      </c>
      <c r="K731" s="89">
        <v>0</v>
      </c>
      <c r="L731" s="90">
        <v>110</v>
      </c>
      <c r="M731" s="31">
        <f t="shared" si="167"/>
        <v>15830553.4</v>
      </c>
      <c r="N731" s="29">
        <v>0</v>
      </c>
      <c r="O731" s="29">
        <v>0</v>
      </c>
      <c r="P731" s="29">
        <v>0</v>
      </c>
      <c r="Q731" s="29">
        <f>'Таблица 3 '!C721</f>
        <v>15830553.4</v>
      </c>
      <c r="R731" s="29">
        <f t="shared" si="168"/>
        <v>15830553.4</v>
      </c>
      <c r="S731" s="29">
        <v>0</v>
      </c>
      <c r="T731" s="29">
        <f t="shared" si="169"/>
        <v>5881.6843395875903</v>
      </c>
      <c r="U731" s="29">
        <f t="shared" si="170"/>
        <v>5881.6843395875903</v>
      </c>
      <c r="V731" s="33" t="s">
        <v>569</v>
      </c>
    </row>
    <row r="732" spans="1:22" s="44" customFormat="1" ht="45" customHeight="1" x14ac:dyDescent="0.25">
      <c r="A732" s="25">
        <v>15</v>
      </c>
      <c r="B732" s="37" t="s">
        <v>700</v>
      </c>
      <c r="C732" s="25" t="s">
        <v>43</v>
      </c>
      <c r="D732" s="25">
        <v>1965</v>
      </c>
      <c r="E732" s="27" t="s">
        <v>39</v>
      </c>
      <c r="F732" s="25" t="s">
        <v>44</v>
      </c>
      <c r="G732" s="28">
        <v>4</v>
      </c>
      <c r="H732" s="28">
        <v>4</v>
      </c>
      <c r="I732" s="29">
        <v>3527.6</v>
      </c>
      <c r="J732" s="89">
        <v>2799.6</v>
      </c>
      <c r="K732" s="89">
        <v>0</v>
      </c>
      <c r="L732" s="90">
        <v>79</v>
      </c>
      <c r="M732" s="31">
        <f t="shared" si="167"/>
        <v>16452290.92</v>
      </c>
      <c r="N732" s="29">
        <v>0</v>
      </c>
      <c r="O732" s="29">
        <v>0</v>
      </c>
      <c r="P732" s="29">
        <v>0</v>
      </c>
      <c r="Q732" s="29">
        <f>'Таблица 3 '!C722</f>
        <v>16452290.92</v>
      </c>
      <c r="R732" s="29">
        <f t="shared" si="168"/>
        <v>16452290.92</v>
      </c>
      <c r="S732" s="29">
        <v>0</v>
      </c>
      <c r="T732" s="29">
        <f t="shared" si="169"/>
        <v>5876.6577082440353</v>
      </c>
      <c r="U732" s="29">
        <f t="shared" si="170"/>
        <v>5876.6577082440353</v>
      </c>
      <c r="V732" s="33" t="s">
        <v>569</v>
      </c>
    </row>
    <row r="733" spans="1:22" s="44" customFormat="1" ht="45" customHeight="1" x14ac:dyDescent="0.25">
      <c r="A733" s="25">
        <v>16</v>
      </c>
      <c r="B733" s="37" t="s">
        <v>701</v>
      </c>
      <c r="C733" s="25" t="s">
        <v>43</v>
      </c>
      <c r="D733" s="25">
        <v>1965</v>
      </c>
      <c r="E733" s="27" t="s">
        <v>39</v>
      </c>
      <c r="F733" s="25" t="s">
        <v>44</v>
      </c>
      <c r="G733" s="28">
        <v>4</v>
      </c>
      <c r="H733" s="28">
        <v>4</v>
      </c>
      <c r="I733" s="29">
        <v>3527.6</v>
      </c>
      <c r="J733" s="89">
        <v>2789.2</v>
      </c>
      <c r="K733" s="89">
        <v>0</v>
      </c>
      <c r="L733" s="90">
        <v>97</v>
      </c>
      <c r="M733" s="31">
        <f t="shared" si="167"/>
        <v>16392475.279999999</v>
      </c>
      <c r="N733" s="29">
        <v>0</v>
      </c>
      <c r="O733" s="29">
        <v>0</v>
      </c>
      <c r="P733" s="29">
        <v>0</v>
      </c>
      <c r="Q733" s="29">
        <f>'Таблица 3 '!C723</f>
        <v>16392475.279999999</v>
      </c>
      <c r="R733" s="29">
        <f t="shared" si="168"/>
        <v>16392475.279999999</v>
      </c>
      <c r="S733" s="29">
        <v>0</v>
      </c>
      <c r="T733" s="29">
        <f t="shared" si="169"/>
        <v>5877.1243654094369</v>
      </c>
      <c r="U733" s="29">
        <f t="shared" si="170"/>
        <v>5877.1243654094369</v>
      </c>
      <c r="V733" s="33" t="s">
        <v>569</v>
      </c>
    </row>
    <row r="734" spans="1:22" s="44" customFormat="1" ht="45" customHeight="1" x14ac:dyDescent="0.25">
      <c r="A734" s="25">
        <v>17</v>
      </c>
      <c r="B734" s="37" t="s">
        <v>702</v>
      </c>
      <c r="C734" s="25" t="s">
        <v>43</v>
      </c>
      <c r="D734" s="25">
        <v>1963</v>
      </c>
      <c r="E734" s="27" t="s">
        <v>39</v>
      </c>
      <c r="F734" s="25" t="s">
        <v>44</v>
      </c>
      <c r="G734" s="28">
        <v>4</v>
      </c>
      <c r="H734" s="28">
        <v>4</v>
      </c>
      <c r="I734" s="29">
        <v>4411.16</v>
      </c>
      <c r="J734" s="89">
        <v>3476</v>
      </c>
      <c r="K734" s="89">
        <v>0</v>
      </c>
      <c r="L734" s="90">
        <v>144</v>
      </c>
      <c r="M734" s="31">
        <f t="shared" si="167"/>
        <v>20342607.82</v>
      </c>
      <c r="N734" s="29">
        <v>0</v>
      </c>
      <c r="O734" s="29">
        <v>0</v>
      </c>
      <c r="P734" s="29">
        <v>0</v>
      </c>
      <c r="Q734" s="29">
        <f>'Таблица 3 '!C724</f>
        <v>20342607.82</v>
      </c>
      <c r="R734" s="29">
        <f t="shared" si="168"/>
        <v>20342607.82</v>
      </c>
      <c r="S734" s="29">
        <v>0</v>
      </c>
      <c r="T734" s="29">
        <f t="shared" si="169"/>
        <v>5852.3037456846951</v>
      </c>
      <c r="U734" s="29">
        <f t="shared" si="170"/>
        <v>5852.3037456846951</v>
      </c>
      <c r="V734" s="33" t="s">
        <v>569</v>
      </c>
    </row>
    <row r="735" spans="1:22" s="44" customFormat="1" ht="45" customHeight="1" x14ac:dyDescent="0.25">
      <c r="A735" s="25">
        <v>18</v>
      </c>
      <c r="B735" s="37" t="s">
        <v>703</v>
      </c>
      <c r="C735" s="25" t="s">
        <v>43</v>
      </c>
      <c r="D735" s="25">
        <v>1964</v>
      </c>
      <c r="E735" s="27" t="s">
        <v>39</v>
      </c>
      <c r="F735" s="25" t="s">
        <v>44</v>
      </c>
      <c r="G735" s="28">
        <v>4</v>
      </c>
      <c r="H735" s="28">
        <v>4</v>
      </c>
      <c r="I735" s="29">
        <v>4397.4399999999996</v>
      </c>
      <c r="J735" s="89">
        <v>3476</v>
      </c>
      <c r="K735" s="89">
        <v>0</v>
      </c>
      <c r="L735" s="90">
        <v>122</v>
      </c>
      <c r="M735" s="31">
        <f t="shared" si="167"/>
        <v>20342607.82</v>
      </c>
      <c r="N735" s="29">
        <v>0</v>
      </c>
      <c r="O735" s="29">
        <v>0</v>
      </c>
      <c r="P735" s="29">
        <v>0</v>
      </c>
      <c r="Q735" s="29">
        <f>'Таблица 3 '!C725</f>
        <v>20342607.82</v>
      </c>
      <c r="R735" s="29">
        <f t="shared" si="168"/>
        <v>20342607.82</v>
      </c>
      <c r="S735" s="29">
        <v>0</v>
      </c>
      <c r="T735" s="29">
        <f t="shared" si="169"/>
        <v>5852.3037456846951</v>
      </c>
      <c r="U735" s="29">
        <f t="shared" si="170"/>
        <v>5852.3037456846951</v>
      </c>
      <c r="V735" s="33" t="s">
        <v>569</v>
      </c>
    </row>
    <row r="736" spans="1:22" s="44" customFormat="1" ht="45" customHeight="1" x14ac:dyDescent="0.25">
      <c r="A736" s="25">
        <v>19</v>
      </c>
      <c r="B736" s="37" t="s">
        <v>704</v>
      </c>
      <c r="C736" s="25" t="s">
        <v>43</v>
      </c>
      <c r="D736" s="25">
        <v>1964</v>
      </c>
      <c r="E736" s="27" t="s">
        <v>39</v>
      </c>
      <c r="F736" s="25" t="s">
        <v>44</v>
      </c>
      <c r="G736" s="28">
        <v>4</v>
      </c>
      <c r="H736" s="28">
        <v>4</v>
      </c>
      <c r="I736" s="29">
        <v>4397.4399999999996</v>
      </c>
      <c r="J736" s="89">
        <v>3642.8</v>
      </c>
      <c r="K736" s="89">
        <v>196</v>
      </c>
      <c r="L736" s="90">
        <v>97</v>
      </c>
      <c r="M736" s="31">
        <f t="shared" si="167"/>
        <v>21301958.59</v>
      </c>
      <c r="N736" s="29">
        <v>0</v>
      </c>
      <c r="O736" s="29">
        <v>0</v>
      </c>
      <c r="P736" s="29">
        <v>0</v>
      </c>
      <c r="Q736" s="29">
        <f>'Таблица 3 '!C726</f>
        <v>21301958.59</v>
      </c>
      <c r="R736" s="29">
        <f t="shared" si="168"/>
        <v>21301958.59</v>
      </c>
      <c r="S736" s="29">
        <v>0</v>
      </c>
      <c r="T736" s="29">
        <f t="shared" si="169"/>
        <v>5847.6882041286917</v>
      </c>
      <c r="U736" s="29">
        <f t="shared" si="170"/>
        <v>5847.6882041286917</v>
      </c>
      <c r="V736" s="33" t="s">
        <v>569</v>
      </c>
    </row>
    <row r="737" spans="1:23" s="44" customFormat="1" ht="45" customHeight="1" x14ac:dyDescent="0.25">
      <c r="A737" s="25">
        <v>20</v>
      </c>
      <c r="B737" s="37" t="s">
        <v>449</v>
      </c>
      <c r="C737" s="25" t="s">
        <v>43</v>
      </c>
      <c r="D737" s="25">
        <v>1986</v>
      </c>
      <c r="E737" s="27" t="s">
        <v>39</v>
      </c>
      <c r="F737" s="25" t="s">
        <v>44</v>
      </c>
      <c r="G737" s="28">
        <v>4</v>
      </c>
      <c r="H737" s="28">
        <v>4</v>
      </c>
      <c r="I737" s="29">
        <v>4555.16</v>
      </c>
      <c r="J737" s="89">
        <v>3598.1</v>
      </c>
      <c r="K737" s="89">
        <v>0</v>
      </c>
      <c r="L737" s="90">
        <v>102</v>
      </c>
      <c r="M737" s="31">
        <f t="shared" si="167"/>
        <v>20694484.380000003</v>
      </c>
      <c r="N737" s="29">
        <v>0</v>
      </c>
      <c r="O737" s="29">
        <v>0</v>
      </c>
      <c r="P737" s="29">
        <v>0</v>
      </c>
      <c r="Q737" s="29">
        <f>'Таблица 3 '!C727</f>
        <v>20694484.380000003</v>
      </c>
      <c r="R737" s="29">
        <f t="shared" si="168"/>
        <v>20694484.380000003</v>
      </c>
      <c r="S737" s="29">
        <v>0</v>
      </c>
      <c r="T737" s="29">
        <f t="shared" si="169"/>
        <v>5751.5033990161483</v>
      </c>
      <c r="U737" s="29">
        <f t="shared" si="170"/>
        <v>5751.5033990161483</v>
      </c>
      <c r="V737" s="33" t="s">
        <v>569</v>
      </c>
    </row>
    <row r="738" spans="1:23" s="44" customFormat="1" ht="45" customHeight="1" x14ac:dyDescent="0.25">
      <c r="A738" s="25">
        <v>21</v>
      </c>
      <c r="B738" s="37" t="s">
        <v>450</v>
      </c>
      <c r="C738" s="25" t="s">
        <v>43</v>
      </c>
      <c r="D738" s="25">
        <v>1966</v>
      </c>
      <c r="E738" s="27" t="s">
        <v>39</v>
      </c>
      <c r="F738" s="25" t="s">
        <v>44</v>
      </c>
      <c r="G738" s="28">
        <v>4</v>
      </c>
      <c r="H738" s="28">
        <v>4</v>
      </c>
      <c r="I738" s="29">
        <v>4405.12</v>
      </c>
      <c r="J738" s="89">
        <v>3637</v>
      </c>
      <c r="K738" s="89">
        <v>0</v>
      </c>
      <c r="L738" s="90">
        <v>131</v>
      </c>
      <c r="M738" s="31">
        <f t="shared" si="167"/>
        <v>20918217.870000001</v>
      </c>
      <c r="N738" s="29">
        <v>0</v>
      </c>
      <c r="O738" s="29">
        <v>0</v>
      </c>
      <c r="P738" s="29">
        <v>0</v>
      </c>
      <c r="Q738" s="29">
        <f>'Таблица 3 '!C728</f>
        <v>20918217.870000001</v>
      </c>
      <c r="R738" s="29">
        <f t="shared" si="168"/>
        <v>20918217.870000001</v>
      </c>
      <c r="S738" s="29">
        <v>0</v>
      </c>
      <c r="T738" s="29">
        <f t="shared" si="169"/>
        <v>5751.5034011547978</v>
      </c>
      <c r="U738" s="29">
        <f t="shared" si="170"/>
        <v>5751.5034011547978</v>
      </c>
      <c r="V738" s="33" t="s">
        <v>569</v>
      </c>
    </row>
    <row r="739" spans="1:23" s="44" customFormat="1" ht="45" customHeight="1" x14ac:dyDescent="0.25">
      <c r="A739" s="25">
        <v>22</v>
      </c>
      <c r="B739" s="37" t="s">
        <v>451</v>
      </c>
      <c r="C739" s="25" t="s">
        <v>43</v>
      </c>
      <c r="D739" s="25">
        <v>1966</v>
      </c>
      <c r="E739" s="27" t="s">
        <v>39</v>
      </c>
      <c r="F739" s="25" t="s">
        <v>44</v>
      </c>
      <c r="G739" s="28">
        <v>4</v>
      </c>
      <c r="H739" s="28">
        <v>4</v>
      </c>
      <c r="I739" s="29">
        <v>4405.12</v>
      </c>
      <c r="J739" s="89">
        <v>3639</v>
      </c>
      <c r="K739" s="89">
        <v>44.2</v>
      </c>
      <c r="L739" s="90">
        <v>118</v>
      </c>
      <c r="M739" s="31">
        <f t="shared" si="167"/>
        <v>20929720.870000001</v>
      </c>
      <c r="N739" s="29">
        <v>0</v>
      </c>
      <c r="O739" s="29">
        <v>0</v>
      </c>
      <c r="P739" s="29">
        <v>0</v>
      </c>
      <c r="Q739" s="29">
        <f>'Таблица 3 '!C729</f>
        <v>20929720.870000001</v>
      </c>
      <c r="R739" s="29">
        <f t="shared" si="168"/>
        <v>20929720.870000001</v>
      </c>
      <c r="S739" s="29">
        <v>0</v>
      </c>
      <c r="T739" s="29">
        <f t="shared" si="169"/>
        <v>5751.5033992855178</v>
      </c>
      <c r="U739" s="29">
        <f t="shared" si="170"/>
        <v>5751.5033992855178</v>
      </c>
      <c r="V739" s="33" t="s">
        <v>569</v>
      </c>
    </row>
    <row r="740" spans="1:23" s="44" customFormat="1" ht="45" customHeight="1" x14ac:dyDescent="0.25">
      <c r="A740" s="25">
        <v>23</v>
      </c>
      <c r="B740" s="37" t="s">
        <v>705</v>
      </c>
      <c r="C740" s="25" t="s">
        <v>43</v>
      </c>
      <c r="D740" s="25">
        <v>1949</v>
      </c>
      <c r="E740" s="27" t="s">
        <v>39</v>
      </c>
      <c r="F740" s="25" t="s">
        <v>44</v>
      </c>
      <c r="G740" s="28">
        <v>2</v>
      </c>
      <c r="H740" s="28">
        <v>2</v>
      </c>
      <c r="I740" s="29">
        <v>1346.36</v>
      </c>
      <c r="J740" s="89">
        <v>885.5</v>
      </c>
      <c r="K740" s="89">
        <v>145.69999999999999</v>
      </c>
      <c r="L740" s="90">
        <v>36</v>
      </c>
      <c r="M740" s="31">
        <f t="shared" si="167"/>
        <v>8413733.2400000002</v>
      </c>
      <c r="N740" s="29">
        <v>0</v>
      </c>
      <c r="O740" s="29">
        <v>0</v>
      </c>
      <c r="P740" s="29">
        <v>0</v>
      </c>
      <c r="Q740" s="29">
        <f>'Таблица 3 '!C730</f>
        <v>8413733.2400000002</v>
      </c>
      <c r="R740" s="29">
        <f t="shared" si="168"/>
        <v>8413733.2400000002</v>
      </c>
      <c r="S740" s="29">
        <v>0</v>
      </c>
      <c r="T740" s="29">
        <f t="shared" si="169"/>
        <v>9501.6750310559</v>
      </c>
      <c r="U740" s="29">
        <f t="shared" si="170"/>
        <v>9501.6750310559</v>
      </c>
      <c r="V740" s="33" t="s">
        <v>569</v>
      </c>
    </row>
    <row r="741" spans="1:23" s="44" customFormat="1" ht="30.75" customHeight="1" x14ac:dyDescent="0.25">
      <c r="A741" s="322" t="s">
        <v>452</v>
      </c>
      <c r="B741" s="322"/>
      <c r="C741" s="18" t="s">
        <v>39</v>
      </c>
      <c r="D741" s="18" t="s">
        <v>39</v>
      </c>
      <c r="E741" s="19" t="s">
        <v>39</v>
      </c>
      <c r="F741" s="18" t="s">
        <v>39</v>
      </c>
      <c r="G741" s="20" t="s">
        <v>39</v>
      </c>
      <c r="H741" s="20" t="s">
        <v>39</v>
      </c>
      <c r="I741" s="21">
        <f t="shared" ref="I741:S741" si="171">SUM(I742:I747)</f>
        <v>14114.2</v>
      </c>
      <c r="J741" s="21">
        <f t="shared" si="171"/>
        <v>11275.400000000001</v>
      </c>
      <c r="K741" s="21">
        <f t="shared" si="171"/>
        <v>11138.3</v>
      </c>
      <c r="L741" s="22">
        <f t="shared" si="171"/>
        <v>317</v>
      </c>
      <c r="M741" s="21">
        <f t="shared" si="171"/>
        <v>35065782.097039998</v>
      </c>
      <c r="N741" s="21">
        <f t="shared" si="171"/>
        <v>0</v>
      </c>
      <c r="O741" s="21">
        <f t="shared" si="171"/>
        <v>0</v>
      </c>
      <c r="P741" s="21">
        <f t="shared" si="171"/>
        <v>0</v>
      </c>
      <c r="Q741" s="21">
        <f t="shared" si="171"/>
        <v>35065782.097039998</v>
      </c>
      <c r="R741" s="21">
        <f t="shared" si="171"/>
        <v>35065782.097039998</v>
      </c>
      <c r="S741" s="21">
        <f t="shared" si="171"/>
        <v>0</v>
      </c>
      <c r="T741" s="24" t="s">
        <v>40</v>
      </c>
      <c r="U741" s="24" t="s">
        <v>40</v>
      </c>
      <c r="V741" s="20" t="s">
        <v>40</v>
      </c>
    </row>
    <row r="742" spans="1:23" s="44" customFormat="1" ht="45" customHeight="1" x14ac:dyDescent="0.25">
      <c r="A742" s="25">
        <v>1</v>
      </c>
      <c r="B742" s="26" t="s">
        <v>706</v>
      </c>
      <c r="C742" s="25" t="s">
        <v>43</v>
      </c>
      <c r="D742" s="91">
        <v>1963</v>
      </c>
      <c r="E742" s="27" t="s">
        <v>47</v>
      </c>
      <c r="F742" s="25" t="s">
        <v>456</v>
      </c>
      <c r="G742" s="28">
        <v>3</v>
      </c>
      <c r="H742" s="28">
        <v>2</v>
      </c>
      <c r="I742" s="29">
        <v>1656.8</v>
      </c>
      <c r="J742" s="29">
        <v>1301.69</v>
      </c>
      <c r="K742" s="29">
        <v>1301.69</v>
      </c>
      <c r="L742" s="90">
        <v>42</v>
      </c>
      <c r="M742" s="31">
        <f t="shared" ref="M742:M747" si="172">SUM(N742:Q742)</f>
        <v>7268010.7000000002</v>
      </c>
      <c r="N742" s="29">
        <v>0</v>
      </c>
      <c r="O742" s="29">
        <v>0</v>
      </c>
      <c r="P742" s="29">
        <v>0</v>
      </c>
      <c r="Q742" s="29">
        <f>'Таблица 3 '!C732</f>
        <v>7268010.7000000002</v>
      </c>
      <c r="R742" s="29">
        <f t="shared" ref="R742:R747" si="173">Q742</f>
        <v>7268010.7000000002</v>
      </c>
      <c r="S742" s="29">
        <v>0</v>
      </c>
      <c r="T742" s="29">
        <f t="shared" si="169"/>
        <v>5583.51888698538</v>
      </c>
      <c r="U742" s="29">
        <f t="shared" si="170"/>
        <v>5583.51888698538</v>
      </c>
      <c r="V742" s="33" t="s">
        <v>569</v>
      </c>
      <c r="W742" s="109"/>
    </row>
    <row r="743" spans="1:23" s="44" customFormat="1" ht="45" customHeight="1" x14ac:dyDescent="0.25">
      <c r="A743" s="25">
        <v>2</v>
      </c>
      <c r="B743" s="26" t="s">
        <v>707</v>
      </c>
      <c r="C743" s="25" t="s">
        <v>43</v>
      </c>
      <c r="D743" s="91">
        <v>1959</v>
      </c>
      <c r="E743" s="27" t="s">
        <v>39</v>
      </c>
      <c r="F743" s="25" t="s">
        <v>456</v>
      </c>
      <c r="G743" s="28">
        <v>3</v>
      </c>
      <c r="H743" s="28">
        <v>2</v>
      </c>
      <c r="I743" s="29">
        <v>1322</v>
      </c>
      <c r="J743" s="29">
        <v>1039.7</v>
      </c>
      <c r="K743" s="42">
        <v>1039.7</v>
      </c>
      <c r="L743" s="90">
        <v>27</v>
      </c>
      <c r="M743" s="31">
        <f t="shared" si="172"/>
        <v>1700287.88</v>
      </c>
      <c r="N743" s="29">
        <v>0</v>
      </c>
      <c r="O743" s="29">
        <v>0</v>
      </c>
      <c r="P743" s="29">
        <v>0</v>
      </c>
      <c r="Q743" s="29">
        <f>'Таблица 3 '!C733</f>
        <v>1700287.88</v>
      </c>
      <c r="R743" s="29">
        <f t="shared" si="173"/>
        <v>1700287.88</v>
      </c>
      <c r="S743" s="42">
        <v>0</v>
      </c>
      <c r="T743" s="29">
        <f t="shared" si="169"/>
        <v>1635.3639319034335</v>
      </c>
      <c r="U743" s="29">
        <f t="shared" si="170"/>
        <v>1635.3639319034335</v>
      </c>
      <c r="V743" s="33" t="s">
        <v>569</v>
      </c>
      <c r="W743" s="109"/>
    </row>
    <row r="744" spans="1:23" s="44" customFormat="1" ht="45" customHeight="1" x14ac:dyDescent="0.25">
      <c r="A744" s="25">
        <v>3</v>
      </c>
      <c r="B744" s="26" t="s">
        <v>708</v>
      </c>
      <c r="C744" s="25" t="s">
        <v>43</v>
      </c>
      <c r="D744" s="91">
        <v>1989</v>
      </c>
      <c r="E744" s="27" t="s">
        <v>70</v>
      </c>
      <c r="F744" s="25" t="s">
        <v>77</v>
      </c>
      <c r="G744" s="28">
        <v>3</v>
      </c>
      <c r="H744" s="28">
        <v>3</v>
      </c>
      <c r="I744" s="29">
        <v>1995.4</v>
      </c>
      <c r="J744" s="29">
        <v>1228.0999999999999</v>
      </c>
      <c r="K744" s="29">
        <v>1228.0999999999999</v>
      </c>
      <c r="L744" s="90">
        <v>38</v>
      </c>
      <c r="M744" s="31">
        <f t="shared" si="172"/>
        <v>11570078.639999999</v>
      </c>
      <c r="N744" s="29">
        <v>0</v>
      </c>
      <c r="O744" s="29">
        <v>0</v>
      </c>
      <c r="P744" s="29">
        <v>0</v>
      </c>
      <c r="Q744" s="29">
        <f>'Таблица 3 '!C734</f>
        <v>11570078.639999999</v>
      </c>
      <c r="R744" s="29">
        <f t="shared" si="173"/>
        <v>11570078.639999999</v>
      </c>
      <c r="S744" s="29">
        <v>0</v>
      </c>
      <c r="T744" s="29">
        <f t="shared" si="169"/>
        <v>9421.1209510626159</v>
      </c>
      <c r="U744" s="29">
        <f t="shared" si="170"/>
        <v>9421.1209510626159</v>
      </c>
      <c r="V744" s="33" t="s">
        <v>569</v>
      </c>
      <c r="W744" s="109"/>
    </row>
    <row r="745" spans="1:23" s="44" customFormat="1" ht="45" customHeight="1" x14ac:dyDescent="0.25">
      <c r="A745" s="25">
        <v>4</v>
      </c>
      <c r="B745" s="26" t="s">
        <v>709</v>
      </c>
      <c r="C745" s="25" t="s">
        <v>43</v>
      </c>
      <c r="D745" s="91">
        <v>1977</v>
      </c>
      <c r="E745" s="27" t="s">
        <v>60</v>
      </c>
      <c r="F745" s="25" t="s">
        <v>77</v>
      </c>
      <c r="G745" s="28">
        <v>2</v>
      </c>
      <c r="H745" s="28">
        <v>2</v>
      </c>
      <c r="I745" s="29">
        <v>1318</v>
      </c>
      <c r="J745" s="29">
        <v>743.69</v>
      </c>
      <c r="K745" s="29">
        <v>743.69</v>
      </c>
      <c r="L745" s="90">
        <v>25</v>
      </c>
      <c r="M745" s="31">
        <f t="shared" si="172"/>
        <v>7111153.9500000002</v>
      </c>
      <c r="N745" s="29">
        <v>0</v>
      </c>
      <c r="O745" s="29">
        <v>0</v>
      </c>
      <c r="P745" s="29">
        <v>0</v>
      </c>
      <c r="Q745" s="29">
        <f>'Таблица 3 '!C735</f>
        <v>7111153.9500000002</v>
      </c>
      <c r="R745" s="29">
        <f t="shared" si="173"/>
        <v>7111153.9500000002</v>
      </c>
      <c r="S745" s="29">
        <v>0</v>
      </c>
      <c r="T745" s="29">
        <f t="shared" si="169"/>
        <v>9561.9867821269618</v>
      </c>
      <c r="U745" s="29">
        <f t="shared" si="170"/>
        <v>9561.9867821269618</v>
      </c>
      <c r="V745" s="33" t="s">
        <v>569</v>
      </c>
      <c r="W745" s="109"/>
    </row>
    <row r="746" spans="1:23" s="44" customFormat="1" ht="45" customHeight="1" x14ac:dyDescent="0.25">
      <c r="A746" s="25">
        <v>5</v>
      </c>
      <c r="B746" s="26" t="s">
        <v>710</v>
      </c>
      <c r="C746" s="25" t="s">
        <v>43</v>
      </c>
      <c r="D746" s="91">
        <v>1953</v>
      </c>
      <c r="E746" s="27" t="s">
        <v>228</v>
      </c>
      <c r="F746" s="25" t="s">
        <v>456</v>
      </c>
      <c r="G746" s="28">
        <v>2</v>
      </c>
      <c r="H746" s="28">
        <v>2</v>
      </c>
      <c r="I746" s="29">
        <v>772.3</v>
      </c>
      <c r="J746" s="29">
        <v>728.22</v>
      </c>
      <c r="K746" s="29">
        <v>728.22</v>
      </c>
      <c r="L746" s="90">
        <v>22</v>
      </c>
      <c r="M746" s="31">
        <f t="shared" si="172"/>
        <v>6826815.9270399995</v>
      </c>
      <c r="N746" s="29">
        <v>0</v>
      </c>
      <c r="O746" s="29">
        <v>0</v>
      </c>
      <c r="P746" s="29">
        <v>0</v>
      </c>
      <c r="Q746" s="29">
        <f>'Таблица 3 '!C736</f>
        <v>6826815.9270399995</v>
      </c>
      <c r="R746" s="29">
        <f t="shared" si="173"/>
        <v>6826815.9270399995</v>
      </c>
      <c r="S746" s="29">
        <v>0</v>
      </c>
      <c r="T746" s="29">
        <f t="shared" si="169"/>
        <v>9374.6614032023281</v>
      </c>
      <c r="U746" s="29">
        <f t="shared" si="170"/>
        <v>9374.6614032023281</v>
      </c>
      <c r="V746" s="33" t="s">
        <v>569</v>
      </c>
      <c r="W746" s="109"/>
    </row>
    <row r="747" spans="1:23" s="44" customFormat="1" ht="45" customHeight="1" x14ac:dyDescent="0.25">
      <c r="A747" s="25">
        <v>6</v>
      </c>
      <c r="B747" s="26" t="s">
        <v>711</v>
      </c>
      <c r="C747" s="25" t="s">
        <v>43</v>
      </c>
      <c r="D747" s="91">
        <v>1992</v>
      </c>
      <c r="E747" s="27" t="s">
        <v>47</v>
      </c>
      <c r="F747" s="25" t="s">
        <v>48</v>
      </c>
      <c r="G747" s="28">
        <v>9</v>
      </c>
      <c r="H747" s="28">
        <v>3</v>
      </c>
      <c r="I747" s="29">
        <v>7049.7</v>
      </c>
      <c r="J747" s="29">
        <v>6234</v>
      </c>
      <c r="K747" s="29">
        <v>6096.9</v>
      </c>
      <c r="L747" s="90">
        <v>163</v>
      </c>
      <c r="M747" s="31">
        <f t="shared" si="172"/>
        <v>589435</v>
      </c>
      <c r="N747" s="29">
        <v>0</v>
      </c>
      <c r="O747" s="29">
        <v>0</v>
      </c>
      <c r="P747" s="29">
        <v>0</v>
      </c>
      <c r="Q747" s="29">
        <f>'Таблица 3 '!C737</f>
        <v>589435</v>
      </c>
      <c r="R747" s="29">
        <f t="shared" si="173"/>
        <v>589435</v>
      </c>
      <c r="S747" s="29">
        <v>0</v>
      </c>
      <c r="T747" s="29">
        <f t="shared" si="169"/>
        <v>94.551652229708054</v>
      </c>
      <c r="U747" s="29">
        <f t="shared" si="170"/>
        <v>94.551652229708054</v>
      </c>
      <c r="V747" s="33" t="s">
        <v>569</v>
      </c>
      <c r="W747" s="109"/>
    </row>
    <row r="748" spans="1:23" s="23" customFormat="1" ht="22.5" customHeight="1" x14ac:dyDescent="0.2">
      <c r="A748" s="326" t="s">
        <v>465</v>
      </c>
      <c r="B748" s="326"/>
      <c r="C748" s="20" t="s">
        <v>39</v>
      </c>
      <c r="D748" s="20" t="s">
        <v>39</v>
      </c>
      <c r="E748" s="62" t="s">
        <v>39</v>
      </c>
      <c r="F748" s="20" t="s">
        <v>39</v>
      </c>
      <c r="G748" s="20" t="s">
        <v>39</v>
      </c>
      <c r="H748" s="20" t="s">
        <v>39</v>
      </c>
      <c r="I748" s="60">
        <f t="shared" ref="I748:S748" si="174">SUM(I749:I756)</f>
        <v>6651.7900000000009</v>
      </c>
      <c r="J748" s="60">
        <f t="shared" si="174"/>
        <v>5608.65</v>
      </c>
      <c r="K748" s="60">
        <f t="shared" si="174"/>
        <v>2399.8500000000004</v>
      </c>
      <c r="L748" s="61">
        <f t="shared" si="174"/>
        <v>184</v>
      </c>
      <c r="M748" s="60">
        <f t="shared" si="174"/>
        <v>32736579.219999999</v>
      </c>
      <c r="N748" s="60">
        <f t="shared" si="174"/>
        <v>0</v>
      </c>
      <c r="O748" s="60">
        <f t="shared" si="174"/>
        <v>0</v>
      </c>
      <c r="P748" s="60">
        <f t="shared" si="174"/>
        <v>0</v>
      </c>
      <c r="Q748" s="60">
        <f t="shared" si="174"/>
        <v>32736579.219999999</v>
      </c>
      <c r="R748" s="60">
        <f t="shared" si="174"/>
        <v>32736579.219999999</v>
      </c>
      <c r="S748" s="60">
        <f t="shared" si="174"/>
        <v>0</v>
      </c>
      <c r="T748" s="20" t="s">
        <v>39</v>
      </c>
      <c r="U748" s="20" t="s">
        <v>39</v>
      </c>
      <c r="V748" s="20" t="s">
        <v>39</v>
      </c>
    </row>
    <row r="749" spans="1:23" s="23" customFormat="1" ht="43.5" customHeight="1" x14ac:dyDescent="0.25">
      <c r="A749" s="25">
        <v>1</v>
      </c>
      <c r="B749" s="38" t="s">
        <v>467</v>
      </c>
      <c r="C749" s="25" t="s">
        <v>43</v>
      </c>
      <c r="D749" s="28">
        <v>1994</v>
      </c>
      <c r="E749" s="63" t="s">
        <v>39</v>
      </c>
      <c r="F749" s="25" t="s">
        <v>77</v>
      </c>
      <c r="G749" s="28">
        <v>2</v>
      </c>
      <c r="H749" s="28">
        <v>3</v>
      </c>
      <c r="I749" s="29">
        <v>1266</v>
      </c>
      <c r="J749" s="29">
        <v>732.55</v>
      </c>
      <c r="K749" s="29">
        <v>732.55</v>
      </c>
      <c r="L749" s="30">
        <v>29</v>
      </c>
      <c r="M749" s="31">
        <f t="shared" ref="M749:M756" si="175">SUM(N749:Q749)</f>
        <v>9820138.75</v>
      </c>
      <c r="N749" s="42">
        <v>0</v>
      </c>
      <c r="O749" s="42">
        <v>0</v>
      </c>
      <c r="P749" s="42">
        <v>0</v>
      </c>
      <c r="Q749" s="29">
        <f>'Таблица 3 '!C739</f>
        <v>9820138.75</v>
      </c>
      <c r="R749" s="42">
        <f t="shared" ref="R749:R756" si="176">Q749</f>
        <v>9820138.75</v>
      </c>
      <c r="S749" s="42">
        <v>0</v>
      </c>
      <c r="T749" s="29">
        <f t="shared" si="169"/>
        <v>13405.417718927036</v>
      </c>
      <c r="U749" s="31">
        <f t="shared" si="170"/>
        <v>13405.417718927036</v>
      </c>
      <c r="V749" s="33" t="s">
        <v>569</v>
      </c>
    </row>
    <row r="750" spans="1:23" s="23" customFormat="1" ht="43.5" customHeight="1" x14ac:dyDescent="0.25">
      <c r="A750" s="25">
        <v>2</v>
      </c>
      <c r="B750" s="38" t="s">
        <v>468</v>
      </c>
      <c r="C750" s="25" t="s">
        <v>43</v>
      </c>
      <c r="D750" s="28">
        <v>1988</v>
      </c>
      <c r="E750" s="63" t="s">
        <v>39</v>
      </c>
      <c r="F750" s="25" t="s">
        <v>77</v>
      </c>
      <c r="G750" s="28">
        <v>3</v>
      </c>
      <c r="H750" s="28">
        <v>3</v>
      </c>
      <c r="I750" s="29">
        <v>721.5</v>
      </c>
      <c r="J750" s="29">
        <v>721.5</v>
      </c>
      <c r="K750" s="29">
        <v>0</v>
      </c>
      <c r="L750" s="30">
        <v>12</v>
      </c>
      <c r="M750" s="31">
        <f t="shared" si="175"/>
        <v>2323576.08</v>
      </c>
      <c r="N750" s="42">
        <v>0</v>
      </c>
      <c r="O750" s="42">
        <v>0</v>
      </c>
      <c r="P750" s="42">
        <v>0</v>
      </c>
      <c r="Q750" s="29">
        <f>'Таблица 3 '!C740</f>
        <v>2323576.08</v>
      </c>
      <c r="R750" s="42">
        <f t="shared" si="176"/>
        <v>2323576.08</v>
      </c>
      <c r="S750" s="42">
        <v>0</v>
      </c>
      <c r="T750" s="29">
        <f t="shared" si="169"/>
        <v>3220.4796673596675</v>
      </c>
      <c r="U750" s="31">
        <f t="shared" si="170"/>
        <v>3220.4796673596675</v>
      </c>
      <c r="V750" s="33" t="s">
        <v>569</v>
      </c>
    </row>
    <row r="751" spans="1:23" s="23" customFormat="1" ht="43.5" customHeight="1" x14ac:dyDescent="0.25">
      <c r="A751" s="25">
        <v>3</v>
      </c>
      <c r="B751" s="38" t="s">
        <v>469</v>
      </c>
      <c r="C751" s="25" t="s">
        <v>43</v>
      </c>
      <c r="D751" s="28">
        <v>1961</v>
      </c>
      <c r="E751" s="63" t="s">
        <v>39</v>
      </c>
      <c r="F751" s="25" t="s">
        <v>77</v>
      </c>
      <c r="G751" s="28">
        <v>2</v>
      </c>
      <c r="H751" s="28">
        <v>1</v>
      </c>
      <c r="I751" s="29">
        <v>1143.5</v>
      </c>
      <c r="J751" s="29">
        <v>1143.5</v>
      </c>
      <c r="K751" s="29">
        <v>0</v>
      </c>
      <c r="L751" s="30">
        <v>37</v>
      </c>
      <c r="M751" s="31">
        <f t="shared" si="175"/>
        <v>10525753.75</v>
      </c>
      <c r="N751" s="42">
        <v>0</v>
      </c>
      <c r="O751" s="42">
        <v>0</v>
      </c>
      <c r="P751" s="42">
        <v>0</v>
      </c>
      <c r="Q751" s="29">
        <f>'Таблица 3 '!C741</f>
        <v>10525753.75</v>
      </c>
      <c r="R751" s="42">
        <f t="shared" si="176"/>
        <v>10525753.75</v>
      </c>
      <c r="S751" s="42">
        <v>0</v>
      </c>
      <c r="T751" s="29">
        <f t="shared" si="169"/>
        <v>9204.8567993003944</v>
      </c>
      <c r="U751" s="31">
        <f t="shared" si="170"/>
        <v>9204.8567993003944</v>
      </c>
      <c r="V751" s="33" t="s">
        <v>569</v>
      </c>
      <c r="W751" s="44"/>
    </row>
    <row r="752" spans="1:23" s="23" customFormat="1" ht="43.5" customHeight="1" x14ac:dyDescent="0.25">
      <c r="A752" s="25">
        <v>4</v>
      </c>
      <c r="B752" s="38" t="s">
        <v>712</v>
      </c>
      <c r="C752" s="25" t="s">
        <v>43</v>
      </c>
      <c r="D752" s="28">
        <v>1970</v>
      </c>
      <c r="E752" s="63" t="s">
        <v>39</v>
      </c>
      <c r="F752" s="25" t="s">
        <v>77</v>
      </c>
      <c r="G752" s="28">
        <v>2</v>
      </c>
      <c r="H752" s="28">
        <v>1</v>
      </c>
      <c r="I752" s="29">
        <v>509</v>
      </c>
      <c r="J752" s="29">
        <v>478.7</v>
      </c>
      <c r="K752" s="29">
        <v>444.7</v>
      </c>
      <c r="L752" s="30">
        <v>16</v>
      </c>
      <c r="M752" s="31">
        <f t="shared" si="175"/>
        <v>1191751.5899999999</v>
      </c>
      <c r="N752" s="42">
        <v>0</v>
      </c>
      <c r="O752" s="42">
        <v>0</v>
      </c>
      <c r="P752" s="42">
        <v>0</v>
      </c>
      <c r="Q752" s="29">
        <f>'Таблица 3 '!C742</f>
        <v>1191751.5899999999</v>
      </c>
      <c r="R752" s="42">
        <f t="shared" si="176"/>
        <v>1191751.5899999999</v>
      </c>
      <c r="S752" s="42">
        <v>0</v>
      </c>
      <c r="T752" s="29">
        <f t="shared" si="169"/>
        <v>2489.5583664090241</v>
      </c>
      <c r="U752" s="31">
        <f t="shared" si="170"/>
        <v>2489.5583664090241</v>
      </c>
      <c r="V752" s="33" t="s">
        <v>569</v>
      </c>
      <c r="W752" s="44"/>
    </row>
    <row r="753" spans="1:23" s="23" customFormat="1" ht="43.5" customHeight="1" x14ac:dyDescent="0.25">
      <c r="A753" s="25">
        <v>5</v>
      </c>
      <c r="B753" s="38" t="s">
        <v>713</v>
      </c>
      <c r="C753" s="25" t="s">
        <v>43</v>
      </c>
      <c r="D753" s="28">
        <v>1964</v>
      </c>
      <c r="E753" s="63" t="s">
        <v>39</v>
      </c>
      <c r="F753" s="25" t="s">
        <v>77</v>
      </c>
      <c r="G753" s="28">
        <v>2</v>
      </c>
      <c r="H753" s="28">
        <v>2</v>
      </c>
      <c r="I753" s="29">
        <v>661</v>
      </c>
      <c r="J753" s="29">
        <v>637.29999999999995</v>
      </c>
      <c r="K753" s="29">
        <v>594.9</v>
      </c>
      <c r="L753" s="30">
        <v>21</v>
      </c>
      <c r="M753" s="31">
        <f t="shared" si="175"/>
        <v>1410605.54</v>
      </c>
      <c r="N753" s="42">
        <v>0</v>
      </c>
      <c r="O753" s="42">
        <v>0</v>
      </c>
      <c r="P753" s="42">
        <v>0</v>
      </c>
      <c r="Q753" s="29">
        <f>'Таблица 3 '!C743</f>
        <v>1410605.54</v>
      </c>
      <c r="R753" s="42">
        <f t="shared" si="176"/>
        <v>1410605.54</v>
      </c>
      <c r="S753" s="42">
        <v>0</v>
      </c>
      <c r="T753" s="29">
        <f t="shared" si="169"/>
        <v>2213.4089753648204</v>
      </c>
      <c r="U753" s="31">
        <f t="shared" si="170"/>
        <v>2213.4089753648204</v>
      </c>
      <c r="V753" s="33" t="s">
        <v>569</v>
      </c>
      <c r="W753" s="44"/>
    </row>
    <row r="754" spans="1:23" s="44" customFormat="1" ht="43.15" customHeight="1" x14ac:dyDescent="0.25">
      <c r="A754" s="25">
        <v>6</v>
      </c>
      <c r="B754" s="38" t="s">
        <v>714</v>
      </c>
      <c r="C754" s="25" t="s">
        <v>43</v>
      </c>
      <c r="D754" s="28">
        <v>1969</v>
      </c>
      <c r="E754" s="63" t="s">
        <v>39</v>
      </c>
      <c r="F754" s="25" t="s">
        <v>77</v>
      </c>
      <c r="G754" s="28">
        <v>2</v>
      </c>
      <c r="H754" s="28">
        <v>2</v>
      </c>
      <c r="I754" s="29">
        <v>1083.3900000000001</v>
      </c>
      <c r="J754" s="29">
        <v>627.70000000000005</v>
      </c>
      <c r="K754" s="29">
        <v>627.70000000000005</v>
      </c>
      <c r="L754" s="30">
        <v>27</v>
      </c>
      <c r="M754" s="31">
        <f t="shared" si="175"/>
        <v>1397358.39</v>
      </c>
      <c r="N754" s="42">
        <v>0</v>
      </c>
      <c r="O754" s="42">
        <v>0</v>
      </c>
      <c r="P754" s="42">
        <v>0</v>
      </c>
      <c r="Q754" s="29">
        <f>'Таблица 3 '!C744</f>
        <v>1397358.39</v>
      </c>
      <c r="R754" s="42">
        <f t="shared" si="176"/>
        <v>1397358.39</v>
      </c>
      <c r="S754" s="42">
        <v>0</v>
      </c>
      <c r="T754" s="29">
        <f t="shared" si="169"/>
        <v>2226.156428230046</v>
      </c>
      <c r="U754" s="31">
        <f t="shared" si="170"/>
        <v>2226.156428230046</v>
      </c>
      <c r="V754" s="33" t="s">
        <v>569</v>
      </c>
    </row>
    <row r="755" spans="1:23" s="44" customFormat="1" ht="43.15" customHeight="1" x14ac:dyDescent="0.25">
      <c r="A755" s="25">
        <v>7</v>
      </c>
      <c r="B755" s="38" t="s">
        <v>473</v>
      </c>
      <c r="C755" s="25" t="s">
        <v>43</v>
      </c>
      <c r="D755" s="28">
        <v>1973</v>
      </c>
      <c r="E755" s="63" t="s">
        <v>39</v>
      </c>
      <c r="F755" s="25" t="s">
        <v>77</v>
      </c>
      <c r="G755" s="28">
        <v>2</v>
      </c>
      <c r="H755" s="28">
        <v>2</v>
      </c>
      <c r="I755" s="29">
        <v>631.80999999999995</v>
      </c>
      <c r="J755" s="29">
        <v>631.80999999999995</v>
      </c>
      <c r="K755" s="29">
        <v>0</v>
      </c>
      <c r="L755" s="30">
        <v>20</v>
      </c>
      <c r="M755" s="31">
        <f t="shared" si="175"/>
        <v>3026233.8600000003</v>
      </c>
      <c r="N755" s="42">
        <v>0</v>
      </c>
      <c r="O755" s="42">
        <v>0</v>
      </c>
      <c r="P755" s="42">
        <v>0</v>
      </c>
      <c r="Q755" s="29">
        <f>'Таблица 3 '!C745</f>
        <v>3026233.8600000003</v>
      </c>
      <c r="R755" s="42">
        <f t="shared" si="176"/>
        <v>3026233.8600000003</v>
      </c>
      <c r="S755" s="42">
        <v>0</v>
      </c>
      <c r="T755" s="29">
        <f t="shared" si="169"/>
        <v>4789.7846821037983</v>
      </c>
      <c r="U755" s="29">
        <f t="shared" si="170"/>
        <v>4789.7846821037983</v>
      </c>
      <c r="V755" s="33" t="s">
        <v>569</v>
      </c>
    </row>
    <row r="756" spans="1:23" s="44" customFormat="1" ht="43.15" customHeight="1" x14ac:dyDescent="0.25">
      <c r="A756" s="25">
        <v>8</v>
      </c>
      <c r="B756" s="38" t="s">
        <v>474</v>
      </c>
      <c r="C756" s="25" t="s">
        <v>43</v>
      </c>
      <c r="D756" s="28">
        <v>1973</v>
      </c>
      <c r="E756" s="63" t="s">
        <v>39</v>
      </c>
      <c r="F756" s="25" t="s">
        <v>77</v>
      </c>
      <c r="G756" s="28">
        <v>2</v>
      </c>
      <c r="H756" s="28">
        <v>2</v>
      </c>
      <c r="I756" s="29">
        <v>635.59</v>
      </c>
      <c r="J756" s="29">
        <v>635.59</v>
      </c>
      <c r="K756" s="29">
        <v>0</v>
      </c>
      <c r="L756" s="30">
        <v>22</v>
      </c>
      <c r="M756" s="31">
        <f t="shared" si="175"/>
        <v>3041161.26</v>
      </c>
      <c r="N756" s="42">
        <v>0</v>
      </c>
      <c r="O756" s="42">
        <v>0</v>
      </c>
      <c r="P756" s="42">
        <v>0</v>
      </c>
      <c r="Q756" s="29">
        <f>'Таблица 3 '!C746</f>
        <v>3041161.26</v>
      </c>
      <c r="R756" s="42">
        <f t="shared" si="176"/>
        <v>3041161.26</v>
      </c>
      <c r="S756" s="42">
        <v>0</v>
      </c>
      <c r="T756" s="29">
        <f t="shared" si="169"/>
        <v>4784.7846253087673</v>
      </c>
      <c r="U756" s="29">
        <f t="shared" si="170"/>
        <v>4784.7846253087673</v>
      </c>
      <c r="V756" s="33" t="s">
        <v>569</v>
      </c>
    </row>
    <row r="757" spans="1:23" s="44" customFormat="1" ht="27" customHeight="1" x14ac:dyDescent="0.25">
      <c r="A757" s="326" t="s">
        <v>475</v>
      </c>
      <c r="B757" s="326"/>
      <c r="C757" s="78" t="s">
        <v>39</v>
      </c>
      <c r="D757" s="79" t="s">
        <v>39</v>
      </c>
      <c r="E757" s="80" t="s">
        <v>39</v>
      </c>
      <c r="F757" s="78" t="s">
        <v>39</v>
      </c>
      <c r="G757" s="81" t="s">
        <v>39</v>
      </c>
      <c r="H757" s="81" t="s">
        <v>39</v>
      </c>
      <c r="I757" s="60">
        <f t="shared" ref="I757:S757" si="177">SUM(I758:I761)</f>
        <v>3126.6</v>
      </c>
      <c r="J757" s="60">
        <f t="shared" si="177"/>
        <v>2698.3</v>
      </c>
      <c r="K757" s="60">
        <f t="shared" si="177"/>
        <v>2333.1999999999998</v>
      </c>
      <c r="L757" s="61">
        <f t="shared" si="177"/>
        <v>91</v>
      </c>
      <c r="M757" s="60">
        <f t="shared" si="177"/>
        <v>7923893.6899999995</v>
      </c>
      <c r="N757" s="60">
        <f t="shared" si="177"/>
        <v>0</v>
      </c>
      <c r="O757" s="60">
        <f t="shared" si="177"/>
        <v>0</v>
      </c>
      <c r="P757" s="60">
        <f t="shared" si="177"/>
        <v>0</v>
      </c>
      <c r="Q757" s="60">
        <f t="shared" si="177"/>
        <v>7923893.6899999995</v>
      </c>
      <c r="R757" s="60">
        <f t="shared" si="177"/>
        <v>7923893.6899999995</v>
      </c>
      <c r="S757" s="60">
        <f t="shared" si="177"/>
        <v>0</v>
      </c>
      <c r="T757" s="24" t="s">
        <v>39</v>
      </c>
      <c r="U757" s="121" t="s">
        <v>39</v>
      </c>
      <c r="V757" s="62" t="s">
        <v>39</v>
      </c>
    </row>
    <row r="758" spans="1:23" s="44" customFormat="1" ht="45" customHeight="1" x14ac:dyDescent="0.25">
      <c r="A758" s="25">
        <v>1</v>
      </c>
      <c r="B758" s="93" t="s">
        <v>715</v>
      </c>
      <c r="C758" s="25" t="s">
        <v>43</v>
      </c>
      <c r="D758" s="25">
        <v>1965</v>
      </c>
      <c r="E758" s="27" t="s">
        <v>39</v>
      </c>
      <c r="F758" s="25" t="s">
        <v>77</v>
      </c>
      <c r="G758" s="28">
        <v>2</v>
      </c>
      <c r="H758" s="28">
        <v>3</v>
      </c>
      <c r="I758" s="32">
        <v>824.4</v>
      </c>
      <c r="J758" s="32">
        <v>471.1</v>
      </c>
      <c r="K758" s="32">
        <v>471.1</v>
      </c>
      <c r="L758" s="35">
        <v>12</v>
      </c>
      <c r="M758" s="31">
        <f t="shared" ref="M758:M761" si="178">SUM(N758:Q758)</f>
        <v>1180712.3</v>
      </c>
      <c r="N758" s="29">
        <v>0</v>
      </c>
      <c r="O758" s="29">
        <v>0</v>
      </c>
      <c r="P758" s="29">
        <v>0</v>
      </c>
      <c r="Q758" s="29">
        <f>'Таблица 3 '!C748</f>
        <v>1180712.3</v>
      </c>
      <c r="R758" s="29">
        <f t="shared" ref="R758:R761" si="179">Q758</f>
        <v>1180712.3</v>
      </c>
      <c r="S758" s="29">
        <v>0</v>
      </c>
      <c r="T758" s="29">
        <f t="shared" si="169"/>
        <v>2506.2880492464446</v>
      </c>
      <c r="U758" s="31">
        <f t="shared" si="170"/>
        <v>2506.2880492464446</v>
      </c>
      <c r="V758" s="33" t="s">
        <v>569</v>
      </c>
    </row>
    <row r="759" spans="1:23" s="44" customFormat="1" ht="45" customHeight="1" x14ac:dyDescent="0.25">
      <c r="A759" s="25">
        <v>2</v>
      </c>
      <c r="B759" s="93" t="s">
        <v>716</v>
      </c>
      <c r="C759" s="25" t="s">
        <v>43</v>
      </c>
      <c r="D759" s="25">
        <v>1975</v>
      </c>
      <c r="E759" s="27" t="s">
        <v>39</v>
      </c>
      <c r="F759" s="25" t="s">
        <v>77</v>
      </c>
      <c r="G759" s="28">
        <v>2</v>
      </c>
      <c r="H759" s="28">
        <v>2</v>
      </c>
      <c r="I759" s="32">
        <v>803.6</v>
      </c>
      <c r="J759" s="32">
        <v>728.6</v>
      </c>
      <c r="K759" s="32">
        <v>723.7</v>
      </c>
      <c r="L759" s="35">
        <v>17</v>
      </c>
      <c r="M759" s="31">
        <f t="shared" si="178"/>
        <v>1529829.88</v>
      </c>
      <c r="N759" s="29">
        <v>0</v>
      </c>
      <c r="O759" s="29">
        <v>0</v>
      </c>
      <c r="P759" s="29">
        <v>0</v>
      </c>
      <c r="Q759" s="29">
        <f>'Таблица 3 '!C749</f>
        <v>1529829.88</v>
      </c>
      <c r="R759" s="29">
        <f t="shared" si="179"/>
        <v>1529829.88</v>
      </c>
      <c r="S759" s="29">
        <v>0</v>
      </c>
      <c r="T759" s="29">
        <f t="shared" si="169"/>
        <v>2099.6841614054347</v>
      </c>
      <c r="U759" s="31">
        <f t="shared" si="170"/>
        <v>2099.6841614054347</v>
      </c>
      <c r="V759" s="33" t="s">
        <v>569</v>
      </c>
    </row>
    <row r="760" spans="1:23" s="44" customFormat="1" ht="45" customHeight="1" x14ac:dyDescent="0.25">
      <c r="A760" s="25">
        <v>3</v>
      </c>
      <c r="B760" s="93" t="s">
        <v>478</v>
      </c>
      <c r="C760" s="25" t="s">
        <v>43</v>
      </c>
      <c r="D760" s="25">
        <v>1953</v>
      </c>
      <c r="E760" s="27" t="s">
        <v>39</v>
      </c>
      <c r="F760" s="25" t="s">
        <v>77</v>
      </c>
      <c r="G760" s="28">
        <v>2</v>
      </c>
      <c r="H760" s="28">
        <v>2</v>
      </c>
      <c r="I760" s="32">
        <v>887.2</v>
      </c>
      <c r="J760" s="32">
        <v>887.2</v>
      </c>
      <c r="K760" s="32">
        <v>887.2</v>
      </c>
      <c r="L760" s="35">
        <v>31</v>
      </c>
      <c r="M760" s="31">
        <f t="shared" si="178"/>
        <v>3384686.4899999998</v>
      </c>
      <c r="N760" s="29">
        <v>0</v>
      </c>
      <c r="O760" s="29">
        <v>0</v>
      </c>
      <c r="P760" s="29">
        <v>0</v>
      </c>
      <c r="Q760" s="29">
        <f>'Таблица 3 '!C750</f>
        <v>3384686.4899999998</v>
      </c>
      <c r="R760" s="29">
        <f t="shared" si="179"/>
        <v>3384686.4899999998</v>
      </c>
      <c r="S760" s="29">
        <v>0</v>
      </c>
      <c r="T760" s="29">
        <f t="shared" si="169"/>
        <v>3815.0208408476101</v>
      </c>
      <c r="U760" s="31">
        <f t="shared" si="170"/>
        <v>3815.0208408476101</v>
      </c>
      <c r="V760" s="33" t="s">
        <v>569</v>
      </c>
    </row>
    <row r="761" spans="1:23" s="44" customFormat="1" ht="43.15" customHeight="1" x14ac:dyDescent="0.25">
      <c r="A761" s="25">
        <v>4</v>
      </c>
      <c r="B761" s="93" t="s">
        <v>480</v>
      </c>
      <c r="C761" s="25" t="s">
        <v>43</v>
      </c>
      <c r="D761" s="25" t="s">
        <v>287</v>
      </c>
      <c r="E761" s="27">
        <v>2019</v>
      </c>
      <c r="F761" s="25" t="s">
        <v>48</v>
      </c>
      <c r="G761" s="28">
        <v>2</v>
      </c>
      <c r="H761" s="28">
        <v>2</v>
      </c>
      <c r="I761" s="32">
        <v>611.4</v>
      </c>
      <c r="J761" s="32">
        <v>611.4</v>
      </c>
      <c r="K761" s="32">
        <v>251.2</v>
      </c>
      <c r="L761" s="35">
        <v>31</v>
      </c>
      <c r="M761" s="31">
        <f t="shared" si="178"/>
        <v>1828665.02</v>
      </c>
      <c r="N761" s="29">
        <v>0</v>
      </c>
      <c r="O761" s="29">
        <v>0</v>
      </c>
      <c r="P761" s="29">
        <v>0</v>
      </c>
      <c r="Q761" s="29">
        <f>'Таблица 3 '!C751</f>
        <v>1828665.02</v>
      </c>
      <c r="R761" s="29">
        <f t="shared" si="179"/>
        <v>1828665.02</v>
      </c>
      <c r="S761" s="29">
        <v>0</v>
      </c>
      <c r="T761" s="29">
        <f t="shared" si="169"/>
        <v>2990.9470395812891</v>
      </c>
      <c r="U761" s="31">
        <f t="shared" si="170"/>
        <v>2990.9470395812891</v>
      </c>
      <c r="V761" s="33" t="s">
        <v>569</v>
      </c>
    </row>
    <row r="762" spans="1:23" s="44" customFormat="1" ht="25.5" customHeight="1" x14ac:dyDescent="0.25">
      <c r="A762" s="322" t="s">
        <v>482</v>
      </c>
      <c r="B762" s="322"/>
      <c r="C762" s="18" t="s">
        <v>39</v>
      </c>
      <c r="D762" s="18" t="s">
        <v>39</v>
      </c>
      <c r="E762" s="19" t="s">
        <v>39</v>
      </c>
      <c r="F762" s="18" t="s">
        <v>39</v>
      </c>
      <c r="G762" s="20" t="s">
        <v>39</v>
      </c>
      <c r="H762" s="20" t="s">
        <v>39</v>
      </c>
      <c r="I762" s="60">
        <f t="shared" ref="I762:S762" si="180">SUM(I763:I764)</f>
        <v>3132.6099999999997</v>
      </c>
      <c r="J762" s="60">
        <f t="shared" si="180"/>
        <v>2248.7600000000002</v>
      </c>
      <c r="K762" s="60">
        <f t="shared" si="180"/>
        <v>1780.76</v>
      </c>
      <c r="L762" s="61">
        <f t="shared" si="180"/>
        <v>126</v>
      </c>
      <c r="M762" s="60">
        <f t="shared" si="180"/>
        <v>13882208.83</v>
      </c>
      <c r="N762" s="60">
        <f t="shared" si="180"/>
        <v>0</v>
      </c>
      <c r="O762" s="60">
        <f t="shared" si="180"/>
        <v>0</v>
      </c>
      <c r="P762" s="60">
        <f t="shared" si="180"/>
        <v>0</v>
      </c>
      <c r="Q762" s="60">
        <f t="shared" si="180"/>
        <v>13882208.83</v>
      </c>
      <c r="R762" s="60">
        <f t="shared" si="180"/>
        <v>13882208.83</v>
      </c>
      <c r="S762" s="60">
        <f t="shared" si="180"/>
        <v>0</v>
      </c>
      <c r="T762" s="24" t="s">
        <v>39</v>
      </c>
      <c r="U762" s="24" t="s">
        <v>39</v>
      </c>
      <c r="V762" s="59" t="s">
        <v>39</v>
      </c>
      <c r="W762" s="23"/>
    </row>
    <row r="763" spans="1:23" s="44" customFormat="1" ht="47.25" customHeight="1" x14ac:dyDescent="0.25">
      <c r="A763" s="25">
        <v>1</v>
      </c>
      <c r="B763" s="38" t="s">
        <v>483</v>
      </c>
      <c r="C763" s="25" t="s">
        <v>43</v>
      </c>
      <c r="D763" s="25">
        <v>1987</v>
      </c>
      <c r="E763" s="27" t="s">
        <v>39</v>
      </c>
      <c r="F763" s="25" t="s">
        <v>77</v>
      </c>
      <c r="G763" s="28">
        <v>3</v>
      </c>
      <c r="H763" s="28">
        <v>3</v>
      </c>
      <c r="I763" s="29">
        <v>2264.39</v>
      </c>
      <c r="J763" s="29">
        <v>1717.8</v>
      </c>
      <c r="K763" s="29">
        <v>1524</v>
      </c>
      <c r="L763" s="30">
        <v>63</v>
      </c>
      <c r="M763" s="29">
        <f t="shared" ref="M763:M764" si="181">SUM(N763:Q763)</f>
        <v>8729204.0600000005</v>
      </c>
      <c r="N763" s="29">
        <v>0</v>
      </c>
      <c r="O763" s="29">
        <v>0</v>
      </c>
      <c r="P763" s="29">
        <v>0</v>
      </c>
      <c r="Q763" s="29">
        <f>'Таблица 3 '!C753</f>
        <v>8729204.0600000005</v>
      </c>
      <c r="R763" s="29">
        <f t="shared" ref="R763:R764" si="182">Q763</f>
        <v>8729204.0600000005</v>
      </c>
      <c r="S763" s="29">
        <v>0</v>
      </c>
      <c r="T763" s="29">
        <f t="shared" si="169"/>
        <v>5081.6183839795094</v>
      </c>
      <c r="U763" s="29">
        <f t="shared" si="170"/>
        <v>5081.6183839795094</v>
      </c>
      <c r="V763" s="33" t="s">
        <v>569</v>
      </c>
    </row>
    <row r="764" spans="1:23" s="44" customFormat="1" ht="43.15" customHeight="1" x14ac:dyDescent="0.25">
      <c r="A764" s="25">
        <v>2</v>
      </c>
      <c r="B764" s="37" t="s">
        <v>717</v>
      </c>
      <c r="C764" s="25" t="s">
        <v>43</v>
      </c>
      <c r="D764" s="25">
        <v>1964</v>
      </c>
      <c r="E764" s="27" t="s">
        <v>39</v>
      </c>
      <c r="F764" s="25" t="s">
        <v>77</v>
      </c>
      <c r="G764" s="28">
        <v>2</v>
      </c>
      <c r="H764" s="28">
        <v>3</v>
      </c>
      <c r="I764" s="29">
        <v>868.22</v>
      </c>
      <c r="J764" s="29">
        <v>530.96</v>
      </c>
      <c r="K764" s="29">
        <v>256.76</v>
      </c>
      <c r="L764" s="30">
        <v>63</v>
      </c>
      <c r="M764" s="29">
        <f t="shared" si="181"/>
        <v>5153004.7699999996</v>
      </c>
      <c r="N764" s="29">
        <v>0</v>
      </c>
      <c r="O764" s="29">
        <v>0</v>
      </c>
      <c r="P764" s="29">
        <v>0</v>
      </c>
      <c r="Q764" s="29">
        <f>'Таблица 3 '!C754</f>
        <v>5153004.7699999996</v>
      </c>
      <c r="R764" s="29">
        <f t="shared" si="182"/>
        <v>5153004.7699999996</v>
      </c>
      <c r="S764" s="29">
        <v>0</v>
      </c>
      <c r="T764" s="29">
        <f t="shared" si="169"/>
        <v>9705.0715119783017</v>
      </c>
      <c r="U764" s="29">
        <f t="shared" si="170"/>
        <v>9705.0715119783017</v>
      </c>
      <c r="V764" s="33" t="s">
        <v>569</v>
      </c>
    </row>
    <row r="765" spans="1:23" s="44" customFormat="1" ht="27.75" customHeight="1" x14ac:dyDescent="0.25">
      <c r="A765" s="326" t="s">
        <v>485</v>
      </c>
      <c r="B765" s="326"/>
      <c r="C765" s="18" t="s">
        <v>39</v>
      </c>
      <c r="D765" s="18" t="s">
        <v>39</v>
      </c>
      <c r="E765" s="19" t="s">
        <v>39</v>
      </c>
      <c r="F765" s="18" t="s">
        <v>39</v>
      </c>
      <c r="G765" s="20" t="s">
        <v>39</v>
      </c>
      <c r="H765" s="20" t="s">
        <v>39</v>
      </c>
      <c r="I765" s="60">
        <f t="shared" ref="I765:S765" si="183">I766</f>
        <v>1741.1</v>
      </c>
      <c r="J765" s="60">
        <f t="shared" si="183"/>
        <v>1544.5</v>
      </c>
      <c r="K765" s="60">
        <f t="shared" si="183"/>
        <v>1544.5</v>
      </c>
      <c r="L765" s="61">
        <f t="shared" si="183"/>
        <v>39</v>
      </c>
      <c r="M765" s="60">
        <f t="shared" si="183"/>
        <v>14216901.33</v>
      </c>
      <c r="N765" s="60">
        <f t="shared" si="183"/>
        <v>0</v>
      </c>
      <c r="O765" s="60">
        <f t="shared" si="183"/>
        <v>0</v>
      </c>
      <c r="P765" s="60">
        <f t="shared" si="183"/>
        <v>0</v>
      </c>
      <c r="Q765" s="60">
        <f t="shared" si="183"/>
        <v>14216901.33</v>
      </c>
      <c r="R765" s="60">
        <f t="shared" si="183"/>
        <v>14216901.33</v>
      </c>
      <c r="S765" s="60">
        <f t="shared" si="183"/>
        <v>0</v>
      </c>
      <c r="T765" s="24" t="s">
        <v>39</v>
      </c>
      <c r="U765" s="24" t="s">
        <v>39</v>
      </c>
      <c r="V765" s="59" t="s">
        <v>39</v>
      </c>
      <c r="W765" s="23"/>
    </row>
    <row r="766" spans="1:23" s="44" customFormat="1" ht="44.25" customHeight="1" x14ac:dyDescent="0.25">
      <c r="A766" s="25">
        <v>1</v>
      </c>
      <c r="B766" s="37" t="s">
        <v>486</v>
      </c>
      <c r="C766" s="25" t="s">
        <v>43</v>
      </c>
      <c r="D766" s="25">
        <v>1983</v>
      </c>
      <c r="E766" s="27" t="s">
        <v>39</v>
      </c>
      <c r="F766" s="25" t="s">
        <v>77</v>
      </c>
      <c r="G766" s="25">
        <v>3</v>
      </c>
      <c r="H766" s="28">
        <v>3</v>
      </c>
      <c r="I766" s="89">
        <v>1741.1</v>
      </c>
      <c r="J766" s="29">
        <v>1544.5</v>
      </c>
      <c r="K766" s="29">
        <v>1544.5</v>
      </c>
      <c r="L766" s="30">
        <v>39</v>
      </c>
      <c r="M766" s="29">
        <f>SUM(N766:Q766)</f>
        <v>14216901.33</v>
      </c>
      <c r="N766" s="29">
        <v>0</v>
      </c>
      <c r="O766" s="29">
        <v>0</v>
      </c>
      <c r="P766" s="29">
        <v>0</v>
      </c>
      <c r="Q766" s="29">
        <f>'Таблица 3 '!C756</f>
        <v>14216901.33</v>
      </c>
      <c r="R766" s="29">
        <f>Q766</f>
        <v>14216901.33</v>
      </c>
      <c r="S766" s="29">
        <v>0</v>
      </c>
      <c r="T766" s="29">
        <f t="shared" si="169"/>
        <v>9204.8568015539004</v>
      </c>
      <c r="U766" s="29">
        <f t="shared" si="170"/>
        <v>9204.8568015539004</v>
      </c>
      <c r="V766" s="33" t="s">
        <v>569</v>
      </c>
    </row>
    <row r="767" spans="1:23" s="44" customFormat="1" ht="23.25" customHeight="1" x14ac:dyDescent="0.25">
      <c r="A767" s="326" t="s">
        <v>491</v>
      </c>
      <c r="B767" s="326"/>
      <c r="C767" s="18" t="s">
        <v>39</v>
      </c>
      <c r="D767" s="18" t="s">
        <v>39</v>
      </c>
      <c r="E767" s="19" t="s">
        <v>39</v>
      </c>
      <c r="F767" s="18" t="s">
        <v>39</v>
      </c>
      <c r="G767" s="20" t="s">
        <v>39</v>
      </c>
      <c r="H767" s="20" t="s">
        <v>39</v>
      </c>
      <c r="I767" s="60">
        <f t="shared" ref="I767:S767" si="184">SUM(I768:I770)</f>
        <v>10702.9</v>
      </c>
      <c r="J767" s="60">
        <f t="shared" si="184"/>
        <v>10068.4</v>
      </c>
      <c r="K767" s="60">
        <f t="shared" si="184"/>
        <v>1874.7</v>
      </c>
      <c r="L767" s="61">
        <f t="shared" si="184"/>
        <v>257</v>
      </c>
      <c r="M767" s="60">
        <f t="shared" si="184"/>
        <v>48332777.939999998</v>
      </c>
      <c r="N767" s="60">
        <f t="shared" si="184"/>
        <v>0</v>
      </c>
      <c r="O767" s="60">
        <f t="shared" si="184"/>
        <v>0</v>
      </c>
      <c r="P767" s="60">
        <f t="shared" si="184"/>
        <v>0</v>
      </c>
      <c r="Q767" s="60">
        <f t="shared" si="184"/>
        <v>48332777.939999998</v>
      </c>
      <c r="R767" s="60">
        <f t="shared" si="184"/>
        <v>48332777.939999998</v>
      </c>
      <c r="S767" s="60">
        <f t="shared" si="184"/>
        <v>0</v>
      </c>
      <c r="T767" s="24" t="s">
        <v>39</v>
      </c>
      <c r="U767" s="24" t="s">
        <v>39</v>
      </c>
      <c r="V767" s="62" t="s">
        <v>39</v>
      </c>
      <c r="W767" s="23"/>
    </row>
    <row r="768" spans="1:23" s="44" customFormat="1" ht="43.15" customHeight="1" x14ac:dyDescent="0.25">
      <c r="A768" s="25">
        <v>1</v>
      </c>
      <c r="B768" s="38" t="s">
        <v>718</v>
      </c>
      <c r="C768" s="25" t="s">
        <v>43</v>
      </c>
      <c r="D768" s="25">
        <v>2002</v>
      </c>
      <c r="E768" s="27" t="s">
        <v>39</v>
      </c>
      <c r="F768" s="25" t="s">
        <v>77</v>
      </c>
      <c r="G768" s="28">
        <v>5</v>
      </c>
      <c r="H768" s="28">
        <v>2</v>
      </c>
      <c r="I768" s="29">
        <v>2118.1999999999998</v>
      </c>
      <c r="J768" s="29">
        <v>2068.1999999999998</v>
      </c>
      <c r="K768" s="29">
        <v>1874.7</v>
      </c>
      <c r="L768" s="30">
        <v>71</v>
      </c>
      <c r="M768" s="29">
        <f t="shared" ref="M768:M770" si="185">SUM(N768:Q768)</f>
        <v>3588782.3799999994</v>
      </c>
      <c r="N768" s="29">
        <v>0</v>
      </c>
      <c r="O768" s="29">
        <v>0</v>
      </c>
      <c r="P768" s="29">
        <v>0</v>
      </c>
      <c r="Q768" s="29">
        <f>'Таблица 3 '!C758</f>
        <v>3588782.3799999994</v>
      </c>
      <c r="R768" s="29">
        <f t="shared" ref="R768:R770" si="186">Q768</f>
        <v>3588782.3799999994</v>
      </c>
      <c r="S768" s="29">
        <v>0</v>
      </c>
      <c r="T768" s="29">
        <f t="shared" si="169"/>
        <v>1735.2201818005994</v>
      </c>
      <c r="U768" s="29">
        <f t="shared" si="170"/>
        <v>1735.2201818005994</v>
      </c>
      <c r="V768" s="33" t="s">
        <v>569</v>
      </c>
    </row>
    <row r="769" spans="1:96" s="44" customFormat="1" ht="43.15" customHeight="1" x14ac:dyDescent="0.25">
      <c r="A769" s="25">
        <v>2</v>
      </c>
      <c r="B769" s="37" t="s">
        <v>719</v>
      </c>
      <c r="C769" s="25" t="s">
        <v>43</v>
      </c>
      <c r="D769" s="25">
        <v>1981</v>
      </c>
      <c r="E769" s="27" t="s">
        <v>39</v>
      </c>
      <c r="F769" s="25" t="s">
        <v>48</v>
      </c>
      <c r="G769" s="28">
        <v>5</v>
      </c>
      <c r="H769" s="28">
        <v>4</v>
      </c>
      <c r="I769" s="29">
        <v>3769</v>
      </c>
      <c r="J769" s="29">
        <v>3735</v>
      </c>
      <c r="K769" s="29">
        <v>0</v>
      </c>
      <c r="L769" s="30">
        <v>74</v>
      </c>
      <c r="M769" s="29">
        <f t="shared" si="185"/>
        <v>20901221.59</v>
      </c>
      <c r="N769" s="29">
        <v>0</v>
      </c>
      <c r="O769" s="29">
        <v>0</v>
      </c>
      <c r="P769" s="29">
        <v>0</v>
      </c>
      <c r="Q769" s="29">
        <f>'Таблица 3 '!C759</f>
        <v>20901221.59</v>
      </c>
      <c r="R769" s="29">
        <f t="shared" si="186"/>
        <v>20901221.59</v>
      </c>
      <c r="S769" s="29">
        <v>0</v>
      </c>
      <c r="T769" s="29">
        <f t="shared" si="169"/>
        <v>5596.0432637215526</v>
      </c>
      <c r="U769" s="29">
        <f t="shared" si="170"/>
        <v>5596.0432637215526</v>
      </c>
      <c r="V769" s="33" t="s">
        <v>569</v>
      </c>
    </row>
    <row r="770" spans="1:96" s="44" customFormat="1" ht="43.15" customHeight="1" x14ac:dyDescent="0.25">
      <c r="A770" s="25">
        <v>3</v>
      </c>
      <c r="B770" s="37" t="s">
        <v>720</v>
      </c>
      <c r="C770" s="25" t="s">
        <v>43</v>
      </c>
      <c r="D770" s="25">
        <v>1983</v>
      </c>
      <c r="E770" s="27" t="s">
        <v>39</v>
      </c>
      <c r="F770" s="25" t="s">
        <v>48</v>
      </c>
      <c r="G770" s="28">
        <v>5</v>
      </c>
      <c r="H770" s="28">
        <v>6</v>
      </c>
      <c r="I770" s="29">
        <v>4815.7</v>
      </c>
      <c r="J770" s="29">
        <v>4265.2</v>
      </c>
      <c r="K770" s="29">
        <v>0</v>
      </c>
      <c r="L770" s="30">
        <v>112</v>
      </c>
      <c r="M770" s="29">
        <f t="shared" si="185"/>
        <v>23842773.970000003</v>
      </c>
      <c r="N770" s="29">
        <v>0</v>
      </c>
      <c r="O770" s="29">
        <v>0</v>
      </c>
      <c r="P770" s="29">
        <v>0</v>
      </c>
      <c r="Q770" s="29">
        <f>'Таблица 3 '!C760</f>
        <v>23842773.970000003</v>
      </c>
      <c r="R770" s="29">
        <f t="shared" si="186"/>
        <v>23842773.970000003</v>
      </c>
      <c r="S770" s="29">
        <v>0</v>
      </c>
      <c r="T770" s="29">
        <f t="shared" si="169"/>
        <v>5590.0717363781305</v>
      </c>
      <c r="U770" s="29">
        <f t="shared" si="170"/>
        <v>5590.0717363781305</v>
      </c>
      <c r="V770" s="33" t="s">
        <v>569</v>
      </c>
    </row>
    <row r="771" spans="1:96" s="40" customFormat="1" ht="25.5" customHeight="1" x14ac:dyDescent="0.25">
      <c r="A771" s="326" t="s">
        <v>498</v>
      </c>
      <c r="B771" s="326"/>
      <c r="C771" s="78" t="s">
        <v>39</v>
      </c>
      <c r="D771" s="79" t="s">
        <v>39</v>
      </c>
      <c r="E771" s="80" t="s">
        <v>39</v>
      </c>
      <c r="F771" s="78" t="s">
        <v>39</v>
      </c>
      <c r="G771" s="81" t="s">
        <v>39</v>
      </c>
      <c r="H771" s="81" t="s">
        <v>39</v>
      </c>
      <c r="I771" s="66">
        <f t="shared" ref="I771:S771" si="187">SUM(I772:I779)</f>
        <v>10202.700000000001</v>
      </c>
      <c r="J771" s="66">
        <f t="shared" si="187"/>
        <v>9420.5</v>
      </c>
      <c r="K771" s="66">
        <f t="shared" si="187"/>
        <v>9027.1</v>
      </c>
      <c r="L771" s="67">
        <f t="shared" si="187"/>
        <v>451</v>
      </c>
      <c r="M771" s="66">
        <f t="shared" si="187"/>
        <v>64213883.300000004</v>
      </c>
      <c r="N771" s="66">
        <f t="shared" si="187"/>
        <v>0</v>
      </c>
      <c r="O771" s="66">
        <f t="shared" si="187"/>
        <v>0</v>
      </c>
      <c r="P771" s="66">
        <f t="shared" si="187"/>
        <v>0</v>
      </c>
      <c r="Q771" s="66">
        <f t="shared" si="187"/>
        <v>64213883.300000004</v>
      </c>
      <c r="R771" s="66">
        <f t="shared" si="187"/>
        <v>64213883.300000004</v>
      </c>
      <c r="S771" s="66">
        <f t="shared" si="187"/>
        <v>0</v>
      </c>
      <c r="T771" s="24" t="s">
        <v>39</v>
      </c>
      <c r="U771" s="24" t="s">
        <v>39</v>
      </c>
      <c r="V771" s="20" t="s">
        <v>39</v>
      </c>
      <c r="W771" s="23"/>
      <c r="X771" s="23"/>
      <c r="Y771" s="23"/>
      <c r="Z771" s="23"/>
      <c r="AA771" s="23"/>
      <c r="AB771" s="23"/>
      <c r="AC771" s="23"/>
      <c r="AD771" s="23"/>
      <c r="AE771" s="23"/>
      <c r="AF771" s="23"/>
      <c r="AG771" s="23"/>
      <c r="AH771" s="23"/>
      <c r="AI771" s="23"/>
      <c r="AJ771" s="23"/>
      <c r="AK771" s="23"/>
      <c r="AL771" s="23"/>
      <c r="AM771" s="23"/>
      <c r="AN771" s="23"/>
      <c r="AO771" s="23"/>
      <c r="AP771" s="23"/>
      <c r="AQ771" s="23"/>
      <c r="AR771" s="23"/>
      <c r="AS771" s="23"/>
      <c r="AT771" s="23"/>
      <c r="AU771" s="23"/>
      <c r="AV771" s="23"/>
      <c r="AW771" s="23"/>
      <c r="AX771" s="23"/>
      <c r="AY771" s="23"/>
      <c r="AZ771" s="23"/>
      <c r="BA771" s="23"/>
      <c r="BB771" s="23"/>
      <c r="BC771" s="23"/>
      <c r="BD771" s="23"/>
      <c r="BE771" s="23"/>
      <c r="BF771" s="23"/>
      <c r="BG771" s="23"/>
      <c r="BH771" s="23"/>
      <c r="BI771" s="23"/>
      <c r="BJ771" s="23"/>
      <c r="BK771" s="23"/>
      <c r="BL771" s="23"/>
      <c r="BM771" s="23"/>
      <c r="BN771" s="23"/>
      <c r="BO771" s="23"/>
      <c r="BP771" s="23"/>
      <c r="BQ771" s="23"/>
      <c r="BR771" s="23"/>
      <c r="BS771" s="23"/>
      <c r="BT771" s="23"/>
      <c r="BU771" s="23"/>
      <c r="BV771" s="23"/>
      <c r="BW771" s="23"/>
      <c r="BX771" s="23"/>
      <c r="BY771" s="23"/>
      <c r="BZ771" s="23"/>
      <c r="CA771" s="23"/>
      <c r="CB771" s="23"/>
      <c r="CC771" s="23"/>
      <c r="CD771" s="23"/>
      <c r="CE771" s="23"/>
      <c r="CF771" s="23"/>
      <c r="CG771" s="23"/>
      <c r="CH771" s="23"/>
      <c r="CI771" s="23"/>
      <c r="CJ771" s="23"/>
      <c r="CK771" s="23"/>
      <c r="CL771" s="23"/>
      <c r="CM771" s="23"/>
      <c r="CN771" s="23"/>
      <c r="CO771" s="23"/>
      <c r="CP771" s="23"/>
      <c r="CQ771" s="23"/>
      <c r="CR771" s="23"/>
    </row>
    <row r="772" spans="1:96" s="40" customFormat="1" ht="44.25" customHeight="1" x14ac:dyDescent="0.25">
      <c r="A772" s="25">
        <v>1</v>
      </c>
      <c r="B772" s="37" t="s">
        <v>721</v>
      </c>
      <c r="C772" s="25" t="s">
        <v>43</v>
      </c>
      <c r="D772" s="25">
        <v>1991</v>
      </c>
      <c r="E772" s="27" t="s">
        <v>39</v>
      </c>
      <c r="F772" s="25" t="s">
        <v>77</v>
      </c>
      <c r="G772" s="28">
        <v>3</v>
      </c>
      <c r="H772" s="28">
        <v>3</v>
      </c>
      <c r="I772" s="29">
        <v>1436.6</v>
      </c>
      <c r="J772" s="29">
        <v>1430.5</v>
      </c>
      <c r="K772" s="29">
        <v>1094.5999999999999</v>
      </c>
      <c r="L772" s="30">
        <v>48</v>
      </c>
      <c r="M772" s="31">
        <f t="shared" ref="M772:M779" si="188">SUM(N772:Q772)</f>
        <v>13433141.65</v>
      </c>
      <c r="N772" s="29">
        <v>0</v>
      </c>
      <c r="O772" s="29">
        <v>0</v>
      </c>
      <c r="P772" s="29">
        <v>0</v>
      </c>
      <c r="Q772" s="29">
        <f>'Таблица 3 '!C762</f>
        <v>13433141.65</v>
      </c>
      <c r="R772" s="29">
        <f t="shared" ref="R772:R779" si="189">Q772</f>
        <v>13433141.65</v>
      </c>
      <c r="S772" s="29">
        <v>0</v>
      </c>
      <c r="T772" s="29">
        <f t="shared" si="169"/>
        <v>9390.521950367005</v>
      </c>
      <c r="U772" s="29">
        <f t="shared" si="170"/>
        <v>9390.521950367005</v>
      </c>
      <c r="V772" s="33" t="s">
        <v>569</v>
      </c>
      <c r="W772" s="23"/>
      <c r="X772" s="23"/>
      <c r="Y772" s="23"/>
      <c r="Z772" s="23"/>
      <c r="AA772" s="23"/>
      <c r="AB772" s="23"/>
      <c r="AC772" s="23"/>
      <c r="AD772" s="23"/>
      <c r="AE772" s="23"/>
      <c r="AF772" s="23"/>
      <c r="AG772" s="23"/>
      <c r="AH772" s="23"/>
      <c r="AI772" s="23"/>
      <c r="AJ772" s="23"/>
      <c r="AK772" s="23"/>
      <c r="AL772" s="23"/>
      <c r="AM772" s="23"/>
      <c r="AN772" s="23"/>
      <c r="AO772" s="23"/>
      <c r="AP772" s="23"/>
      <c r="AQ772" s="23"/>
      <c r="AR772" s="23"/>
      <c r="AS772" s="23"/>
      <c r="AT772" s="23"/>
      <c r="AU772" s="23"/>
      <c r="AV772" s="23"/>
      <c r="AW772" s="23"/>
      <c r="AX772" s="23"/>
      <c r="AY772" s="23"/>
      <c r="AZ772" s="23"/>
      <c r="BA772" s="23"/>
      <c r="BB772" s="23"/>
      <c r="BC772" s="23"/>
      <c r="BD772" s="23"/>
      <c r="BE772" s="23"/>
      <c r="BF772" s="23"/>
      <c r="BG772" s="23"/>
      <c r="BH772" s="23"/>
      <c r="BI772" s="23"/>
      <c r="BJ772" s="23"/>
      <c r="BK772" s="23"/>
      <c r="BL772" s="23"/>
      <c r="BM772" s="23"/>
      <c r="BN772" s="23"/>
      <c r="BO772" s="23"/>
      <c r="BP772" s="23"/>
      <c r="BQ772" s="23"/>
      <c r="BR772" s="23"/>
      <c r="BS772" s="23"/>
      <c r="BT772" s="23"/>
      <c r="BU772" s="23"/>
      <c r="BV772" s="23"/>
      <c r="BW772" s="23"/>
      <c r="BX772" s="23"/>
      <c r="BY772" s="23"/>
      <c r="BZ772" s="23"/>
      <c r="CA772" s="23"/>
      <c r="CB772" s="23"/>
      <c r="CC772" s="23"/>
      <c r="CD772" s="23"/>
      <c r="CE772" s="23"/>
      <c r="CF772" s="23"/>
      <c r="CG772" s="23"/>
      <c r="CH772" s="23"/>
      <c r="CI772" s="23"/>
      <c r="CJ772" s="23"/>
      <c r="CK772" s="23"/>
      <c r="CL772" s="23"/>
      <c r="CM772" s="23"/>
      <c r="CN772" s="23"/>
      <c r="CO772" s="23"/>
      <c r="CP772" s="23"/>
      <c r="CQ772" s="23"/>
      <c r="CR772" s="23"/>
    </row>
    <row r="773" spans="1:96" s="40" customFormat="1" ht="44.25" customHeight="1" x14ac:dyDescent="0.25">
      <c r="A773" s="25">
        <v>2</v>
      </c>
      <c r="B773" s="38" t="s">
        <v>722</v>
      </c>
      <c r="C773" s="25" t="s">
        <v>43</v>
      </c>
      <c r="D773" s="25">
        <v>1960</v>
      </c>
      <c r="E773" s="27" t="s">
        <v>39</v>
      </c>
      <c r="F773" s="25" t="s">
        <v>456</v>
      </c>
      <c r="G773" s="28">
        <v>2</v>
      </c>
      <c r="H773" s="28">
        <v>1</v>
      </c>
      <c r="I773" s="29">
        <v>282.7</v>
      </c>
      <c r="J773" s="29">
        <v>282.2</v>
      </c>
      <c r="K773" s="29">
        <v>282.2</v>
      </c>
      <c r="L773" s="30">
        <v>24</v>
      </c>
      <c r="M773" s="31">
        <f t="shared" si="188"/>
        <v>3128798.59</v>
      </c>
      <c r="N773" s="29">
        <v>0</v>
      </c>
      <c r="O773" s="29">
        <v>0</v>
      </c>
      <c r="P773" s="29">
        <v>0</v>
      </c>
      <c r="Q773" s="29">
        <f>'Таблица 3 '!C763</f>
        <v>3128798.59</v>
      </c>
      <c r="R773" s="29">
        <f t="shared" si="189"/>
        <v>3128798.59</v>
      </c>
      <c r="S773" s="29">
        <v>0</v>
      </c>
      <c r="T773" s="29">
        <f t="shared" si="169"/>
        <v>11087.167221828491</v>
      </c>
      <c r="U773" s="29">
        <f t="shared" si="170"/>
        <v>11087.167221828491</v>
      </c>
      <c r="V773" s="33" t="s">
        <v>569</v>
      </c>
      <c r="W773" s="23"/>
      <c r="X773" s="23"/>
      <c r="Y773" s="23"/>
      <c r="Z773" s="23"/>
      <c r="AA773" s="23"/>
      <c r="AB773" s="23"/>
      <c r="AC773" s="23"/>
      <c r="AD773" s="23"/>
      <c r="AE773" s="23"/>
      <c r="AF773" s="23"/>
      <c r="AG773" s="23"/>
      <c r="AH773" s="23"/>
      <c r="AI773" s="23"/>
      <c r="AJ773" s="23"/>
      <c r="AK773" s="23"/>
      <c r="AL773" s="23"/>
      <c r="AM773" s="23"/>
      <c r="AN773" s="23"/>
      <c r="AO773" s="23"/>
      <c r="AP773" s="23"/>
      <c r="AQ773" s="23"/>
      <c r="AR773" s="23"/>
      <c r="AS773" s="23"/>
      <c r="AT773" s="23"/>
      <c r="AU773" s="23"/>
      <c r="AV773" s="23"/>
      <c r="AW773" s="23"/>
      <c r="AX773" s="23"/>
      <c r="AY773" s="23"/>
      <c r="AZ773" s="23"/>
      <c r="BA773" s="23"/>
      <c r="BB773" s="23"/>
      <c r="BC773" s="23"/>
      <c r="BD773" s="23"/>
      <c r="BE773" s="23"/>
      <c r="BF773" s="23"/>
      <c r="BG773" s="23"/>
      <c r="BH773" s="23"/>
      <c r="BI773" s="23"/>
      <c r="BJ773" s="23"/>
      <c r="BK773" s="23"/>
      <c r="BL773" s="23"/>
      <c r="BM773" s="23"/>
      <c r="BN773" s="23"/>
      <c r="BO773" s="23"/>
      <c r="BP773" s="23"/>
      <c r="BQ773" s="23"/>
      <c r="BR773" s="23"/>
      <c r="BS773" s="23"/>
      <c r="BT773" s="23"/>
      <c r="BU773" s="23"/>
      <c r="BV773" s="23"/>
      <c r="BW773" s="23"/>
      <c r="BX773" s="23"/>
      <c r="BY773" s="23"/>
      <c r="BZ773" s="23"/>
      <c r="CA773" s="23"/>
      <c r="CB773" s="23"/>
      <c r="CC773" s="23"/>
      <c r="CD773" s="23"/>
      <c r="CE773" s="23"/>
      <c r="CF773" s="23"/>
      <c r="CG773" s="23"/>
      <c r="CH773" s="23"/>
      <c r="CI773" s="23"/>
      <c r="CJ773" s="23"/>
      <c r="CK773" s="23"/>
      <c r="CL773" s="23"/>
      <c r="CM773" s="23"/>
      <c r="CN773" s="23"/>
      <c r="CO773" s="23"/>
      <c r="CP773" s="23"/>
      <c r="CQ773" s="23"/>
      <c r="CR773" s="23"/>
    </row>
    <row r="774" spans="1:96" s="40" customFormat="1" ht="44.25" customHeight="1" x14ac:dyDescent="0.25">
      <c r="A774" s="25">
        <v>3</v>
      </c>
      <c r="B774" s="38" t="s">
        <v>499</v>
      </c>
      <c r="C774" s="25" t="s">
        <v>43</v>
      </c>
      <c r="D774" s="25">
        <v>1960</v>
      </c>
      <c r="E774" s="27">
        <v>2019</v>
      </c>
      <c r="F774" s="25" t="s">
        <v>77</v>
      </c>
      <c r="G774" s="28">
        <v>2</v>
      </c>
      <c r="H774" s="28">
        <v>2</v>
      </c>
      <c r="I774" s="29">
        <v>683.6</v>
      </c>
      <c r="J774" s="29">
        <v>630.6</v>
      </c>
      <c r="K774" s="29">
        <v>585.9</v>
      </c>
      <c r="L774" s="30">
        <v>21</v>
      </c>
      <c r="M774" s="31">
        <f t="shared" si="188"/>
        <v>8287151.1400000006</v>
      </c>
      <c r="N774" s="29">
        <v>0</v>
      </c>
      <c r="O774" s="29">
        <v>0</v>
      </c>
      <c r="P774" s="29">
        <v>0</v>
      </c>
      <c r="Q774" s="29">
        <f>'Таблица 3 '!C764</f>
        <v>8287151.1400000006</v>
      </c>
      <c r="R774" s="29">
        <f t="shared" si="189"/>
        <v>8287151.1400000006</v>
      </c>
      <c r="S774" s="29">
        <v>0</v>
      </c>
      <c r="T774" s="29">
        <f t="shared" si="169"/>
        <v>13141.692261338409</v>
      </c>
      <c r="U774" s="29">
        <f t="shared" si="170"/>
        <v>13141.692261338409</v>
      </c>
      <c r="V774" s="33" t="s">
        <v>569</v>
      </c>
      <c r="W774" s="23"/>
      <c r="X774" s="23"/>
      <c r="Y774" s="23"/>
      <c r="Z774" s="23"/>
      <c r="AA774" s="23"/>
      <c r="AB774" s="23"/>
      <c r="AC774" s="23"/>
      <c r="AD774" s="23"/>
      <c r="AE774" s="23"/>
      <c r="AF774" s="23"/>
      <c r="AG774" s="23"/>
      <c r="AH774" s="23"/>
      <c r="AI774" s="23"/>
      <c r="AJ774" s="23"/>
      <c r="AK774" s="23"/>
      <c r="AL774" s="23"/>
      <c r="AM774" s="23"/>
      <c r="AN774" s="23"/>
      <c r="AO774" s="23"/>
      <c r="AP774" s="23"/>
      <c r="AQ774" s="23"/>
      <c r="AR774" s="23"/>
      <c r="AS774" s="23"/>
      <c r="AT774" s="23"/>
      <c r="AU774" s="23"/>
      <c r="AV774" s="23"/>
      <c r="AW774" s="23"/>
      <c r="AX774" s="23"/>
      <c r="AY774" s="23"/>
      <c r="AZ774" s="23"/>
      <c r="BA774" s="23"/>
      <c r="BB774" s="23"/>
      <c r="BC774" s="23"/>
      <c r="BD774" s="23"/>
      <c r="BE774" s="23"/>
      <c r="BF774" s="23"/>
      <c r="BG774" s="23"/>
      <c r="BH774" s="23"/>
      <c r="BI774" s="23"/>
      <c r="BJ774" s="23"/>
      <c r="BK774" s="23"/>
      <c r="BL774" s="23"/>
      <c r="BM774" s="23"/>
      <c r="BN774" s="23"/>
      <c r="BO774" s="23"/>
      <c r="BP774" s="23"/>
      <c r="BQ774" s="23"/>
      <c r="BR774" s="23"/>
      <c r="BS774" s="23"/>
      <c r="BT774" s="23"/>
      <c r="BU774" s="23"/>
      <c r="BV774" s="23"/>
      <c r="BW774" s="23"/>
      <c r="BX774" s="23"/>
      <c r="BY774" s="23"/>
      <c r="BZ774" s="23"/>
      <c r="CA774" s="23"/>
      <c r="CB774" s="23"/>
      <c r="CC774" s="23"/>
      <c r="CD774" s="23"/>
      <c r="CE774" s="23"/>
      <c r="CF774" s="23"/>
      <c r="CG774" s="23"/>
      <c r="CH774" s="23"/>
      <c r="CI774" s="23"/>
      <c r="CJ774" s="23"/>
      <c r="CK774" s="23"/>
      <c r="CL774" s="23"/>
      <c r="CM774" s="23"/>
      <c r="CN774" s="23"/>
      <c r="CO774" s="23"/>
      <c r="CP774" s="23"/>
      <c r="CQ774" s="23"/>
      <c r="CR774" s="23"/>
    </row>
    <row r="775" spans="1:96" s="40" customFormat="1" ht="44.25" customHeight="1" x14ac:dyDescent="0.25">
      <c r="A775" s="25">
        <v>4</v>
      </c>
      <c r="B775" s="38" t="s">
        <v>723</v>
      </c>
      <c r="C775" s="25" t="s">
        <v>43</v>
      </c>
      <c r="D775" s="25">
        <v>1977</v>
      </c>
      <c r="E775" s="27" t="s">
        <v>39</v>
      </c>
      <c r="F775" s="25" t="s">
        <v>77</v>
      </c>
      <c r="G775" s="28">
        <v>5</v>
      </c>
      <c r="H775" s="28">
        <v>5</v>
      </c>
      <c r="I775" s="29">
        <v>3644.5</v>
      </c>
      <c r="J775" s="29">
        <v>3200.1</v>
      </c>
      <c r="K775" s="29">
        <v>3115.4</v>
      </c>
      <c r="L775" s="30">
        <v>102</v>
      </c>
      <c r="M775" s="31">
        <f t="shared" si="188"/>
        <v>5711500.4199999999</v>
      </c>
      <c r="N775" s="29">
        <v>0</v>
      </c>
      <c r="O775" s="29">
        <v>0</v>
      </c>
      <c r="P775" s="29">
        <v>0</v>
      </c>
      <c r="Q775" s="29">
        <f>'Таблица 3 '!C765</f>
        <v>5711500.4199999999</v>
      </c>
      <c r="R775" s="29">
        <f t="shared" si="189"/>
        <v>5711500.4199999999</v>
      </c>
      <c r="S775" s="29">
        <v>0</v>
      </c>
      <c r="T775" s="29">
        <f t="shared" si="169"/>
        <v>1784.788106621668</v>
      </c>
      <c r="U775" s="29">
        <f t="shared" si="170"/>
        <v>1784.788106621668</v>
      </c>
      <c r="V775" s="33" t="s">
        <v>569</v>
      </c>
      <c r="W775" s="23"/>
      <c r="X775" s="23"/>
      <c r="Y775" s="23"/>
      <c r="Z775" s="23"/>
      <c r="AA775" s="23"/>
      <c r="AB775" s="23"/>
      <c r="AC775" s="23"/>
      <c r="AD775" s="23"/>
      <c r="AE775" s="23"/>
      <c r="AF775" s="23"/>
      <c r="AG775" s="23"/>
      <c r="AH775" s="23"/>
      <c r="AI775" s="23"/>
      <c r="AJ775" s="23"/>
      <c r="AK775" s="23"/>
      <c r="AL775" s="23"/>
      <c r="AM775" s="23"/>
      <c r="AN775" s="23"/>
      <c r="AO775" s="23"/>
      <c r="AP775" s="23"/>
      <c r="AQ775" s="23"/>
      <c r="AR775" s="23"/>
      <c r="AS775" s="23"/>
      <c r="AT775" s="23"/>
      <c r="AU775" s="23"/>
      <c r="AV775" s="23"/>
      <c r="AW775" s="23"/>
      <c r="AX775" s="23"/>
      <c r="AY775" s="23"/>
      <c r="AZ775" s="23"/>
      <c r="BA775" s="23"/>
      <c r="BB775" s="23"/>
      <c r="BC775" s="23"/>
      <c r="BD775" s="23"/>
      <c r="BE775" s="23"/>
      <c r="BF775" s="23"/>
      <c r="BG775" s="23"/>
      <c r="BH775" s="23"/>
      <c r="BI775" s="23"/>
      <c r="BJ775" s="23"/>
      <c r="BK775" s="23"/>
      <c r="BL775" s="23"/>
      <c r="BM775" s="23"/>
      <c r="BN775" s="23"/>
      <c r="BO775" s="23"/>
      <c r="BP775" s="23"/>
      <c r="BQ775" s="23"/>
      <c r="BR775" s="23"/>
      <c r="BS775" s="23"/>
      <c r="BT775" s="23"/>
      <c r="BU775" s="23"/>
      <c r="BV775" s="23"/>
      <c r="BW775" s="23"/>
      <c r="BX775" s="23"/>
      <c r="BY775" s="23"/>
      <c r="BZ775" s="23"/>
      <c r="CA775" s="23"/>
      <c r="CB775" s="23"/>
      <c r="CC775" s="23"/>
      <c r="CD775" s="23"/>
      <c r="CE775" s="23"/>
      <c r="CF775" s="23"/>
      <c r="CG775" s="23"/>
      <c r="CH775" s="23"/>
      <c r="CI775" s="23"/>
      <c r="CJ775" s="23"/>
      <c r="CK775" s="23"/>
      <c r="CL775" s="23"/>
      <c r="CM775" s="23"/>
      <c r="CN775" s="23"/>
      <c r="CO775" s="23"/>
      <c r="CP775" s="23"/>
      <c r="CQ775" s="23"/>
      <c r="CR775" s="23"/>
    </row>
    <row r="776" spans="1:96" s="40" customFormat="1" ht="44.25" customHeight="1" x14ac:dyDescent="0.25">
      <c r="A776" s="25">
        <v>5</v>
      </c>
      <c r="B776" s="38" t="s">
        <v>724</v>
      </c>
      <c r="C776" s="25" t="s">
        <v>43</v>
      </c>
      <c r="D776" s="25">
        <v>1961</v>
      </c>
      <c r="E776" s="27" t="s">
        <v>39</v>
      </c>
      <c r="F776" s="25" t="s">
        <v>77</v>
      </c>
      <c r="G776" s="28">
        <v>2</v>
      </c>
      <c r="H776" s="28">
        <v>2</v>
      </c>
      <c r="I776" s="29">
        <v>642.70000000000005</v>
      </c>
      <c r="J776" s="29">
        <v>556.20000000000005</v>
      </c>
      <c r="K776" s="29">
        <v>512.70000000000005</v>
      </c>
      <c r="L776" s="30">
        <v>46</v>
      </c>
      <c r="M776" s="31">
        <f t="shared" si="188"/>
        <v>5385335.3500000006</v>
      </c>
      <c r="N776" s="29">
        <v>0</v>
      </c>
      <c r="O776" s="29">
        <v>0</v>
      </c>
      <c r="P776" s="29">
        <v>0</v>
      </c>
      <c r="Q776" s="29">
        <f>'Таблица 3 '!C766</f>
        <v>5385335.3500000006</v>
      </c>
      <c r="R776" s="29">
        <f t="shared" si="189"/>
        <v>5385335.3500000006</v>
      </c>
      <c r="S776" s="29">
        <v>0</v>
      </c>
      <c r="T776" s="29">
        <f t="shared" si="169"/>
        <v>9682.3720783890694</v>
      </c>
      <c r="U776" s="29">
        <f t="shared" si="170"/>
        <v>9682.3720783890694</v>
      </c>
      <c r="V776" s="33" t="s">
        <v>569</v>
      </c>
      <c r="W776" s="23"/>
      <c r="X776" s="23"/>
      <c r="Y776" s="23"/>
      <c r="Z776" s="23"/>
      <c r="AA776" s="23"/>
      <c r="AB776" s="23"/>
      <c r="AC776" s="23"/>
      <c r="AD776" s="23"/>
      <c r="AE776" s="23"/>
      <c r="AF776" s="23"/>
      <c r="AG776" s="23"/>
      <c r="AH776" s="23"/>
      <c r="AI776" s="23"/>
      <c r="AJ776" s="23"/>
      <c r="AK776" s="23"/>
      <c r="AL776" s="23"/>
      <c r="AM776" s="23"/>
      <c r="AN776" s="23"/>
      <c r="AO776" s="23"/>
      <c r="AP776" s="23"/>
      <c r="AQ776" s="23"/>
      <c r="AR776" s="23"/>
      <c r="AS776" s="23"/>
      <c r="AT776" s="23"/>
      <c r="AU776" s="23"/>
      <c r="AV776" s="23"/>
      <c r="AW776" s="23"/>
      <c r="AX776" s="23"/>
      <c r="AY776" s="23"/>
      <c r="AZ776" s="23"/>
      <c r="BA776" s="23"/>
      <c r="BB776" s="23"/>
      <c r="BC776" s="23"/>
      <c r="BD776" s="23"/>
      <c r="BE776" s="23"/>
      <c r="BF776" s="23"/>
      <c r="BG776" s="23"/>
      <c r="BH776" s="23"/>
      <c r="BI776" s="23"/>
      <c r="BJ776" s="23"/>
      <c r="BK776" s="23"/>
      <c r="BL776" s="23"/>
      <c r="BM776" s="23"/>
      <c r="BN776" s="23"/>
      <c r="BO776" s="23"/>
      <c r="BP776" s="23"/>
      <c r="BQ776" s="23"/>
      <c r="BR776" s="23"/>
      <c r="BS776" s="23"/>
      <c r="BT776" s="23"/>
      <c r="BU776" s="23"/>
      <c r="BV776" s="23"/>
      <c r="BW776" s="23"/>
      <c r="BX776" s="23"/>
      <c r="BY776" s="23"/>
      <c r="BZ776" s="23"/>
      <c r="CA776" s="23"/>
      <c r="CB776" s="23"/>
      <c r="CC776" s="23"/>
      <c r="CD776" s="23"/>
      <c r="CE776" s="23"/>
      <c r="CF776" s="23"/>
      <c r="CG776" s="23"/>
      <c r="CH776" s="23"/>
      <c r="CI776" s="23"/>
      <c r="CJ776" s="23"/>
      <c r="CK776" s="23"/>
      <c r="CL776" s="23"/>
      <c r="CM776" s="23"/>
      <c r="CN776" s="23"/>
      <c r="CO776" s="23"/>
      <c r="CP776" s="23"/>
      <c r="CQ776" s="23"/>
      <c r="CR776" s="23"/>
    </row>
    <row r="777" spans="1:96" s="40" customFormat="1" ht="44.25" customHeight="1" x14ac:dyDescent="0.25">
      <c r="A777" s="25">
        <v>6</v>
      </c>
      <c r="B777" s="38" t="s">
        <v>501</v>
      </c>
      <c r="C777" s="25" t="s">
        <v>43</v>
      </c>
      <c r="D777" s="25">
        <v>1962</v>
      </c>
      <c r="E777" s="27" t="s">
        <v>39</v>
      </c>
      <c r="F777" s="25" t="s">
        <v>456</v>
      </c>
      <c r="G777" s="28">
        <v>2</v>
      </c>
      <c r="H777" s="28">
        <v>2</v>
      </c>
      <c r="I777" s="29">
        <v>642.6</v>
      </c>
      <c r="J777" s="29">
        <v>461.5</v>
      </c>
      <c r="K777" s="29">
        <v>641.5</v>
      </c>
      <c r="L777" s="30">
        <v>48</v>
      </c>
      <c r="M777" s="31">
        <f t="shared" si="188"/>
        <v>1416401.16</v>
      </c>
      <c r="N777" s="29">
        <v>0</v>
      </c>
      <c r="O777" s="29">
        <v>0</v>
      </c>
      <c r="P777" s="29">
        <v>0</v>
      </c>
      <c r="Q777" s="29">
        <f>'Таблица 3 '!C767</f>
        <v>1416401.16</v>
      </c>
      <c r="R777" s="29">
        <f t="shared" si="189"/>
        <v>1416401.16</v>
      </c>
      <c r="S777" s="29">
        <v>0</v>
      </c>
      <c r="T777" s="29">
        <f t="shared" si="169"/>
        <v>3069.1249404117007</v>
      </c>
      <c r="U777" s="29">
        <f t="shared" si="170"/>
        <v>3069.1249404117007</v>
      </c>
      <c r="V777" s="33" t="s">
        <v>569</v>
      </c>
      <c r="W777" s="23"/>
      <c r="X777" s="23"/>
      <c r="Y777" s="23"/>
      <c r="Z777" s="23"/>
      <c r="AA777" s="23"/>
      <c r="AB777" s="23"/>
      <c r="AC777" s="23"/>
      <c r="AD777" s="23"/>
      <c r="AE777" s="23"/>
      <c r="AF777" s="23"/>
      <c r="AG777" s="23"/>
      <c r="AH777" s="23"/>
      <c r="AI777" s="23"/>
      <c r="AJ777" s="23"/>
      <c r="AK777" s="23"/>
      <c r="AL777" s="23"/>
      <c r="AM777" s="23"/>
      <c r="AN777" s="23"/>
      <c r="AO777" s="23"/>
      <c r="AP777" s="23"/>
      <c r="AQ777" s="23"/>
      <c r="AR777" s="23"/>
      <c r="AS777" s="23"/>
      <c r="AT777" s="23"/>
      <c r="AU777" s="23"/>
      <c r="AV777" s="23"/>
      <c r="AW777" s="23"/>
      <c r="AX777" s="23"/>
      <c r="AY777" s="23"/>
      <c r="AZ777" s="23"/>
      <c r="BA777" s="23"/>
      <c r="BB777" s="23"/>
      <c r="BC777" s="23"/>
      <c r="BD777" s="23"/>
      <c r="BE777" s="23"/>
      <c r="BF777" s="23"/>
      <c r="BG777" s="23"/>
      <c r="BH777" s="23"/>
      <c r="BI777" s="23"/>
      <c r="BJ777" s="23"/>
      <c r="BK777" s="23"/>
      <c r="BL777" s="23"/>
      <c r="BM777" s="23"/>
      <c r="BN777" s="23"/>
      <c r="BO777" s="23"/>
      <c r="BP777" s="23"/>
      <c r="BQ777" s="23"/>
      <c r="BR777" s="23"/>
      <c r="BS777" s="23"/>
      <c r="BT777" s="23"/>
      <c r="BU777" s="23"/>
      <c r="BV777" s="23"/>
      <c r="BW777" s="23"/>
      <c r="BX777" s="23"/>
      <c r="BY777" s="23"/>
      <c r="BZ777" s="23"/>
      <c r="CA777" s="23"/>
      <c r="CB777" s="23"/>
      <c r="CC777" s="23"/>
      <c r="CD777" s="23"/>
      <c r="CE777" s="23"/>
      <c r="CF777" s="23"/>
      <c r="CG777" s="23"/>
      <c r="CH777" s="23"/>
      <c r="CI777" s="23"/>
      <c r="CJ777" s="23"/>
      <c r="CK777" s="23"/>
      <c r="CL777" s="23"/>
      <c r="CM777" s="23"/>
      <c r="CN777" s="23"/>
      <c r="CO777" s="23"/>
      <c r="CP777" s="23"/>
      <c r="CQ777" s="23"/>
      <c r="CR777" s="23"/>
    </row>
    <row r="778" spans="1:96" s="40" customFormat="1" ht="44.25" customHeight="1" x14ac:dyDescent="0.25">
      <c r="A778" s="25">
        <v>7</v>
      </c>
      <c r="B778" s="38" t="s">
        <v>725</v>
      </c>
      <c r="C778" s="25" t="s">
        <v>43</v>
      </c>
      <c r="D778" s="25">
        <v>1994</v>
      </c>
      <c r="E778" s="27" t="s">
        <v>39</v>
      </c>
      <c r="F778" s="25" t="s">
        <v>77</v>
      </c>
      <c r="G778" s="28">
        <v>3</v>
      </c>
      <c r="H778" s="28">
        <v>3</v>
      </c>
      <c r="I778" s="29">
        <v>1422</v>
      </c>
      <c r="J778" s="29">
        <v>1412.4</v>
      </c>
      <c r="K778" s="29">
        <v>1412.4</v>
      </c>
      <c r="L778" s="30">
        <v>81</v>
      </c>
      <c r="M778" s="31">
        <f t="shared" si="188"/>
        <v>13266533.200000001</v>
      </c>
      <c r="N778" s="29">
        <v>0</v>
      </c>
      <c r="O778" s="29">
        <v>0</v>
      </c>
      <c r="P778" s="29">
        <v>0</v>
      </c>
      <c r="Q778" s="29">
        <f>'Таблица 3 '!C768</f>
        <v>13266533.200000001</v>
      </c>
      <c r="R778" s="29">
        <f t="shared" si="189"/>
        <v>13266533.200000001</v>
      </c>
      <c r="S778" s="29">
        <v>0</v>
      </c>
      <c r="T778" s="29">
        <f t="shared" si="169"/>
        <v>9392.9008779382621</v>
      </c>
      <c r="U778" s="29">
        <f t="shared" si="170"/>
        <v>9392.9008779382621</v>
      </c>
      <c r="V778" s="33" t="s">
        <v>569</v>
      </c>
      <c r="W778" s="23"/>
      <c r="X778" s="23"/>
      <c r="Y778" s="23"/>
      <c r="Z778" s="23"/>
      <c r="AA778" s="23"/>
      <c r="AB778" s="23"/>
      <c r="AC778" s="23"/>
      <c r="AD778" s="23"/>
      <c r="AE778" s="23"/>
      <c r="AF778" s="23"/>
      <c r="AG778" s="23"/>
      <c r="AH778" s="23"/>
      <c r="AI778" s="23"/>
      <c r="AJ778" s="23"/>
      <c r="AK778" s="23"/>
      <c r="AL778" s="23"/>
      <c r="AM778" s="23"/>
      <c r="AN778" s="23"/>
      <c r="AO778" s="23"/>
      <c r="AP778" s="23"/>
      <c r="AQ778" s="23"/>
      <c r="AR778" s="23"/>
      <c r="AS778" s="23"/>
      <c r="AT778" s="23"/>
      <c r="AU778" s="23"/>
      <c r="AV778" s="23"/>
      <c r="AW778" s="23"/>
      <c r="AX778" s="23"/>
      <c r="AY778" s="23"/>
      <c r="AZ778" s="23"/>
      <c r="BA778" s="23"/>
      <c r="BB778" s="23"/>
      <c r="BC778" s="23"/>
      <c r="BD778" s="23"/>
      <c r="BE778" s="23"/>
      <c r="BF778" s="23"/>
      <c r="BG778" s="23"/>
      <c r="BH778" s="23"/>
      <c r="BI778" s="23"/>
      <c r="BJ778" s="23"/>
      <c r="BK778" s="23"/>
      <c r="BL778" s="23"/>
      <c r="BM778" s="23"/>
      <c r="BN778" s="23"/>
      <c r="BO778" s="23"/>
      <c r="BP778" s="23"/>
      <c r="BQ778" s="23"/>
      <c r="BR778" s="23"/>
      <c r="BS778" s="23"/>
      <c r="BT778" s="23"/>
      <c r="BU778" s="23"/>
      <c r="BV778" s="23"/>
      <c r="BW778" s="23"/>
      <c r="BX778" s="23"/>
      <c r="BY778" s="23"/>
      <c r="BZ778" s="23"/>
      <c r="CA778" s="23"/>
      <c r="CB778" s="23"/>
      <c r="CC778" s="23"/>
      <c r="CD778" s="23"/>
      <c r="CE778" s="23"/>
      <c r="CF778" s="23"/>
      <c r="CG778" s="23"/>
      <c r="CH778" s="23"/>
      <c r="CI778" s="23"/>
      <c r="CJ778" s="23"/>
      <c r="CK778" s="23"/>
      <c r="CL778" s="23"/>
      <c r="CM778" s="23"/>
      <c r="CN778" s="23"/>
      <c r="CO778" s="23"/>
      <c r="CP778" s="23"/>
      <c r="CQ778" s="23"/>
      <c r="CR778" s="23"/>
    </row>
    <row r="779" spans="1:96" s="40" customFormat="1" ht="44.25" customHeight="1" x14ac:dyDescent="0.25">
      <c r="A779" s="25">
        <v>8</v>
      </c>
      <c r="B779" s="38" t="s">
        <v>726</v>
      </c>
      <c r="C779" s="25" t="s">
        <v>43</v>
      </c>
      <c r="D779" s="25">
        <v>1990</v>
      </c>
      <c r="E779" s="27" t="s">
        <v>39</v>
      </c>
      <c r="F779" s="25" t="s">
        <v>77</v>
      </c>
      <c r="G779" s="28">
        <v>3</v>
      </c>
      <c r="H779" s="28">
        <v>3</v>
      </c>
      <c r="I779" s="29">
        <v>1448</v>
      </c>
      <c r="J779" s="29">
        <v>1447</v>
      </c>
      <c r="K779" s="29">
        <v>1382.4</v>
      </c>
      <c r="L779" s="30">
        <v>81</v>
      </c>
      <c r="M779" s="31">
        <f t="shared" si="188"/>
        <v>13585021.789999999</v>
      </c>
      <c r="N779" s="29">
        <v>0</v>
      </c>
      <c r="O779" s="29">
        <v>0</v>
      </c>
      <c r="P779" s="29">
        <v>0</v>
      </c>
      <c r="Q779" s="29">
        <f>'Таблица 3 '!C769</f>
        <v>13585021.789999999</v>
      </c>
      <c r="R779" s="29">
        <f t="shared" si="189"/>
        <v>13585021.789999999</v>
      </c>
      <c r="S779" s="29">
        <v>0</v>
      </c>
      <c r="T779" s="29">
        <f t="shared" si="169"/>
        <v>9388.4048306841742</v>
      </c>
      <c r="U779" s="29">
        <f t="shared" si="170"/>
        <v>9388.4048306841742</v>
      </c>
      <c r="V779" s="33" t="s">
        <v>569</v>
      </c>
      <c r="W779" s="23"/>
      <c r="X779" s="23"/>
      <c r="Y779" s="23"/>
      <c r="Z779" s="23"/>
      <c r="AA779" s="23"/>
      <c r="AB779" s="23"/>
      <c r="AC779" s="23"/>
      <c r="AD779" s="23"/>
      <c r="AE779" s="23"/>
      <c r="AF779" s="23"/>
      <c r="AG779" s="23"/>
      <c r="AH779" s="23"/>
      <c r="AI779" s="23"/>
      <c r="AJ779" s="23"/>
      <c r="AK779" s="23"/>
      <c r="AL779" s="23"/>
      <c r="AM779" s="23"/>
      <c r="AN779" s="23"/>
      <c r="AO779" s="23"/>
      <c r="AP779" s="23"/>
      <c r="AQ779" s="23"/>
      <c r="AR779" s="23"/>
      <c r="AS779" s="23"/>
      <c r="AT779" s="23"/>
      <c r="AU779" s="23"/>
      <c r="AV779" s="23"/>
      <c r="AW779" s="23"/>
      <c r="AX779" s="23"/>
      <c r="AY779" s="23"/>
      <c r="AZ779" s="23"/>
      <c r="BA779" s="23"/>
      <c r="BB779" s="23"/>
      <c r="BC779" s="23"/>
      <c r="BD779" s="23"/>
      <c r="BE779" s="23"/>
      <c r="BF779" s="23"/>
      <c r="BG779" s="23"/>
      <c r="BH779" s="23"/>
      <c r="BI779" s="23"/>
      <c r="BJ779" s="23"/>
      <c r="BK779" s="23"/>
      <c r="BL779" s="23"/>
      <c r="BM779" s="23"/>
      <c r="BN779" s="23"/>
      <c r="BO779" s="23"/>
      <c r="BP779" s="23"/>
      <c r="BQ779" s="23"/>
      <c r="BR779" s="23"/>
      <c r="BS779" s="23"/>
      <c r="BT779" s="23"/>
      <c r="BU779" s="23"/>
      <c r="BV779" s="23"/>
      <c r="BW779" s="23"/>
      <c r="BX779" s="23"/>
      <c r="BY779" s="23"/>
      <c r="BZ779" s="23"/>
      <c r="CA779" s="23"/>
      <c r="CB779" s="23"/>
      <c r="CC779" s="23"/>
      <c r="CD779" s="23"/>
      <c r="CE779" s="23"/>
      <c r="CF779" s="23"/>
      <c r="CG779" s="23"/>
      <c r="CH779" s="23"/>
      <c r="CI779" s="23"/>
      <c r="CJ779" s="23"/>
      <c r="CK779" s="23"/>
      <c r="CL779" s="23"/>
      <c r="CM779" s="23"/>
      <c r="CN779" s="23"/>
      <c r="CO779" s="23"/>
      <c r="CP779" s="23"/>
      <c r="CQ779" s="23"/>
      <c r="CR779" s="23"/>
    </row>
    <row r="780" spans="1:96" s="44" customFormat="1" ht="27.75" customHeight="1" x14ac:dyDescent="0.25">
      <c r="A780" s="322" t="s">
        <v>503</v>
      </c>
      <c r="B780" s="322"/>
      <c r="C780" s="18" t="s">
        <v>39</v>
      </c>
      <c r="D780" s="18" t="s">
        <v>39</v>
      </c>
      <c r="E780" s="19" t="s">
        <v>39</v>
      </c>
      <c r="F780" s="18" t="s">
        <v>39</v>
      </c>
      <c r="G780" s="20" t="s">
        <v>39</v>
      </c>
      <c r="H780" s="20" t="s">
        <v>39</v>
      </c>
      <c r="I780" s="60">
        <f t="shared" ref="I780:S780" si="190">SUM(I781:I798)</f>
        <v>43090.820000000007</v>
      </c>
      <c r="J780" s="60">
        <f t="shared" si="190"/>
        <v>33817.299999999996</v>
      </c>
      <c r="K780" s="60">
        <f t="shared" si="190"/>
        <v>18105.900000000001</v>
      </c>
      <c r="L780" s="61">
        <f t="shared" si="190"/>
        <v>805</v>
      </c>
      <c r="M780" s="60">
        <f t="shared" si="190"/>
        <v>153489370.90000001</v>
      </c>
      <c r="N780" s="60">
        <f t="shared" si="190"/>
        <v>0</v>
      </c>
      <c r="O780" s="60">
        <f t="shared" si="190"/>
        <v>0</v>
      </c>
      <c r="P780" s="60">
        <f t="shared" si="190"/>
        <v>0</v>
      </c>
      <c r="Q780" s="60">
        <f t="shared" si="190"/>
        <v>153489370.90000001</v>
      </c>
      <c r="R780" s="60">
        <f t="shared" si="190"/>
        <v>153489370.90000001</v>
      </c>
      <c r="S780" s="60">
        <f t="shared" si="190"/>
        <v>0</v>
      </c>
      <c r="T780" s="24" t="s">
        <v>40</v>
      </c>
      <c r="U780" s="24" t="s">
        <v>40</v>
      </c>
      <c r="V780" s="20" t="s">
        <v>40</v>
      </c>
    </row>
    <row r="781" spans="1:96" s="44" customFormat="1" ht="44.25" customHeight="1" x14ac:dyDescent="0.25">
      <c r="A781" s="25">
        <v>1</v>
      </c>
      <c r="B781" s="37" t="s">
        <v>727</v>
      </c>
      <c r="C781" s="25" t="s">
        <v>43</v>
      </c>
      <c r="D781" s="25">
        <v>1970</v>
      </c>
      <c r="E781" s="27" t="s">
        <v>39</v>
      </c>
      <c r="F781" s="25" t="s">
        <v>48</v>
      </c>
      <c r="G781" s="28">
        <v>4</v>
      </c>
      <c r="H781" s="28">
        <v>3</v>
      </c>
      <c r="I781" s="29">
        <v>2143.8000000000002</v>
      </c>
      <c r="J781" s="29">
        <v>2106.3000000000002</v>
      </c>
      <c r="K781" s="29">
        <v>1842.5</v>
      </c>
      <c r="L781" s="30">
        <v>105</v>
      </c>
      <c r="M781" s="29">
        <f t="shared" ref="M781:M798" si="191">SUM(N781:Q781)</f>
        <v>2808837.08</v>
      </c>
      <c r="N781" s="29">
        <v>0</v>
      </c>
      <c r="O781" s="29">
        <v>0</v>
      </c>
      <c r="P781" s="29">
        <v>0</v>
      </c>
      <c r="Q781" s="29">
        <f>'Таблица 3 '!C771</f>
        <v>2808837.08</v>
      </c>
      <c r="R781" s="29">
        <f t="shared" ref="R781:R798" si="192">Q781</f>
        <v>2808837.08</v>
      </c>
      <c r="S781" s="29">
        <v>0</v>
      </c>
      <c r="T781" s="29">
        <f t="shared" si="169"/>
        <v>1333.5408441342638</v>
      </c>
      <c r="U781" s="29">
        <f t="shared" si="170"/>
        <v>1333.5408441342638</v>
      </c>
      <c r="V781" s="33" t="s">
        <v>569</v>
      </c>
    </row>
    <row r="782" spans="1:96" s="44" customFormat="1" ht="44.25" customHeight="1" x14ac:dyDescent="0.25">
      <c r="A782" s="25">
        <v>2</v>
      </c>
      <c r="B782" s="37" t="s">
        <v>728</v>
      </c>
      <c r="C782" s="25" t="s">
        <v>43</v>
      </c>
      <c r="D782" s="25">
        <v>1956</v>
      </c>
      <c r="E782" s="27">
        <v>2019</v>
      </c>
      <c r="F782" s="25" t="s">
        <v>44</v>
      </c>
      <c r="G782" s="28">
        <v>2</v>
      </c>
      <c r="H782" s="28">
        <v>2</v>
      </c>
      <c r="I782" s="29">
        <v>946.4</v>
      </c>
      <c r="J782" s="29">
        <v>827.2</v>
      </c>
      <c r="K782" s="29">
        <v>827.2</v>
      </c>
      <c r="L782" s="30">
        <v>15</v>
      </c>
      <c r="M782" s="29">
        <f t="shared" si="191"/>
        <v>2292808.84</v>
      </c>
      <c r="N782" s="29">
        <v>0</v>
      </c>
      <c r="O782" s="29">
        <v>0</v>
      </c>
      <c r="P782" s="29">
        <v>0</v>
      </c>
      <c r="Q782" s="29">
        <f>'Таблица 3 '!C772</f>
        <v>2292808.84</v>
      </c>
      <c r="R782" s="29">
        <f t="shared" si="192"/>
        <v>2292808.84</v>
      </c>
      <c r="S782" s="29">
        <v>0</v>
      </c>
      <c r="T782" s="29">
        <v>2085</v>
      </c>
      <c r="U782" s="29">
        <v>2085</v>
      </c>
      <c r="V782" s="33" t="s">
        <v>569</v>
      </c>
    </row>
    <row r="783" spans="1:96" s="44" customFormat="1" ht="45" x14ac:dyDescent="0.25">
      <c r="A783" s="25">
        <v>3</v>
      </c>
      <c r="B783" s="37" t="s">
        <v>508</v>
      </c>
      <c r="C783" s="25" t="s">
        <v>43</v>
      </c>
      <c r="D783" s="25">
        <v>1984</v>
      </c>
      <c r="E783" s="27" t="s">
        <v>39</v>
      </c>
      <c r="F783" s="25" t="s">
        <v>48</v>
      </c>
      <c r="G783" s="28">
        <v>5</v>
      </c>
      <c r="H783" s="28">
        <v>5</v>
      </c>
      <c r="I783" s="32">
        <v>3641</v>
      </c>
      <c r="J783" s="32">
        <v>3604.8</v>
      </c>
      <c r="K783" s="32">
        <v>3553.9</v>
      </c>
      <c r="L783" s="35">
        <v>138</v>
      </c>
      <c r="M783" s="29">
        <f t="shared" si="191"/>
        <v>19157147.969999999</v>
      </c>
      <c r="N783" s="29">
        <v>0</v>
      </c>
      <c r="O783" s="29">
        <v>0</v>
      </c>
      <c r="P783" s="29">
        <v>0</v>
      </c>
      <c r="Q783" s="29">
        <f>'Таблица 3 '!C773</f>
        <v>19157147.969999999</v>
      </c>
      <c r="R783" s="29">
        <f t="shared" si="192"/>
        <v>19157147.969999999</v>
      </c>
      <c r="S783" s="75">
        <v>0</v>
      </c>
      <c r="T783" s="29">
        <f t="shared" si="169"/>
        <v>5314.3441994007981</v>
      </c>
      <c r="U783" s="29">
        <f t="shared" si="170"/>
        <v>5314.3441994007981</v>
      </c>
      <c r="V783" s="33" t="s">
        <v>569</v>
      </c>
    </row>
    <row r="784" spans="1:96" s="44" customFormat="1" ht="45" x14ac:dyDescent="0.25">
      <c r="A784" s="25">
        <v>4</v>
      </c>
      <c r="B784" s="38" t="s">
        <v>729</v>
      </c>
      <c r="C784" s="25" t="s">
        <v>43</v>
      </c>
      <c r="D784" s="25">
        <v>1969</v>
      </c>
      <c r="E784" s="27">
        <v>2024</v>
      </c>
      <c r="F784" s="25" t="s">
        <v>44</v>
      </c>
      <c r="G784" s="28">
        <v>2</v>
      </c>
      <c r="H784" s="28">
        <v>2</v>
      </c>
      <c r="I784" s="32">
        <v>732.1</v>
      </c>
      <c r="J784" s="32">
        <v>640.1</v>
      </c>
      <c r="K784" s="32">
        <v>640.1</v>
      </c>
      <c r="L784" s="35">
        <v>24</v>
      </c>
      <c r="M784" s="29">
        <f t="shared" si="191"/>
        <v>1119373.2700000003</v>
      </c>
      <c r="N784" s="29">
        <v>0</v>
      </c>
      <c r="O784" s="29">
        <v>0</v>
      </c>
      <c r="P784" s="29">
        <v>0</v>
      </c>
      <c r="Q784" s="29">
        <f>'Таблица 3 '!C774</f>
        <v>1119373.2700000003</v>
      </c>
      <c r="R784" s="29">
        <f t="shared" si="192"/>
        <v>1119373.2700000003</v>
      </c>
      <c r="S784" s="75">
        <v>0</v>
      </c>
      <c r="T784" s="29">
        <f t="shared" si="169"/>
        <v>1748.7474925792849</v>
      </c>
      <c r="U784" s="29">
        <f t="shared" si="170"/>
        <v>1748.7474925792849</v>
      </c>
      <c r="V784" s="33" t="s">
        <v>569</v>
      </c>
    </row>
    <row r="785" spans="1:40" s="44" customFormat="1" ht="45" customHeight="1" x14ac:dyDescent="0.25">
      <c r="A785" s="25">
        <v>5</v>
      </c>
      <c r="B785" s="71" t="s">
        <v>509</v>
      </c>
      <c r="C785" s="94" t="s">
        <v>43</v>
      </c>
      <c r="D785" s="28">
        <v>1984</v>
      </c>
      <c r="E785" s="63">
        <v>2022</v>
      </c>
      <c r="F785" s="25" t="s">
        <v>44</v>
      </c>
      <c r="G785" s="28">
        <v>2</v>
      </c>
      <c r="H785" s="28">
        <v>3</v>
      </c>
      <c r="I785" s="29">
        <v>1587.4</v>
      </c>
      <c r="J785" s="29">
        <v>861.1</v>
      </c>
      <c r="K785" s="29">
        <v>771.6</v>
      </c>
      <c r="L785" s="30">
        <v>18</v>
      </c>
      <c r="M785" s="29">
        <f t="shared" si="191"/>
        <v>2058927.34</v>
      </c>
      <c r="N785" s="29">
        <v>0</v>
      </c>
      <c r="O785" s="29">
        <v>0</v>
      </c>
      <c r="P785" s="29">
        <v>0</v>
      </c>
      <c r="Q785" s="29">
        <f>'Таблица 3 '!C775</f>
        <v>2058927.34</v>
      </c>
      <c r="R785" s="29">
        <f t="shared" si="192"/>
        <v>2058927.34</v>
      </c>
      <c r="S785" s="42">
        <v>0</v>
      </c>
      <c r="T785" s="29">
        <f t="shared" si="169"/>
        <v>2391.0432470096389</v>
      </c>
      <c r="U785" s="29">
        <f t="shared" si="170"/>
        <v>2391.0432470096389</v>
      </c>
      <c r="V785" s="33" t="s">
        <v>569</v>
      </c>
    </row>
    <row r="786" spans="1:40" s="44" customFormat="1" ht="45" customHeight="1" x14ac:dyDescent="0.25">
      <c r="A786" s="25">
        <v>6</v>
      </c>
      <c r="B786" s="38" t="s">
        <v>730</v>
      </c>
      <c r="C786" s="94" t="s">
        <v>43</v>
      </c>
      <c r="D786" s="25">
        <v>1984</v>
      </c>
      <c r="E786" s="27" t="s">
        <v>70</v>
      </c>
      <c r="F786" s="25" t="s">
        <v>44</v>
      </c>
      <c r="G786" s="28">
        <v>2</v>
      </c>
      <c r="H786" s="28">
        <v>3</v>
      </c>
      <c r="I786" s="29">
        <f>I785</f>
        <v>1587.4</v>
      </c>
      <c r="J786" s="29">
        <f>J785</f>
        <v>861.1</v>
      </c>
      <c r="K786" s="29">
        <f>K785</f>
        <v>771.6</v>
      </c>
      <c r="L786" s="30">
        <v>18</v>
      </c>
      <c r="M786" s="29">
        <f t="shared" si="191"/>
        <v>229392.2</v>
      </c>
      <c r="N786" s="29">
        <v>0</v>
      </c>
      <c r="O786" s="29">
        <v>0</v>
      </c>
      <c r="P786" s="29">
        <v>0</v>
      </c>
      <c r="Q786" s="29">
        <f>'Таблица 3 '!C776</f>
        <v>229392.2</v>
      </c>
      <c r="R786" s="29">
        <f t="shared" si="192"/>
        <v>229392.2</v>
      </c>
      <c r="S786" s="42">
        <v>0</v>
      </c>
      <c r="T786" s="29">
        <f t="shared" si="169"/>
        <v>266.39437928231331</v>
      </c>
      <c r="U786" s="29">
        <f t="shared" si="170"/>
        <v>266.39437928231331</v>
      </c>
      <c r="V786" s="33" t="s">
        <v>569</v>
      </c>
    </row>
    <row r="787" spans="1:40" s="44" customFormat="1" ht="45" customHeight="1" x14ac:dyDescent="0.25">
      <c r="A787" s="25">
        <v>7</v>
      </c>
      <c r="B787" s="71" t="s">
        <v>731</v>
      </c>
      <c r="C787" s="94" t="s">
        <v>43</v>
      </c>
      <c r="D787" s="28">
        <v>1957</v>
      </c>
      <c r="E787" s="63" t="s">
        <v>39</v>
      </c>
      <c r="F787" s="28" t="s">
        <v>514</v>
      </c>
      <c r="G787" s="28">
        <v>2</v>
      </c>
      <c r="H787" s="28">
        <v>1</v>
      </c>
      <c r="I787" s="29">
        <v>1308</v>
      </c>
      <c r="J787" s="29">
        <v>396.2</v>
      </c>
      <c r="K787" s="29">
        <v>0</v>
      </c>
      <c r="L787" s="30">
        <v>8</v>
      </c>
      <c r="M787" s="29">
        <f t="shared" si="191"/>
        <v>1145490.24</v>
      </c>
      <c r="N787" s="29">
        <v>0</v>
      </c>
      <c r="O787" s="29">
        <v>0</v>
      </c>
      <c r="P787" s="29">
        <v>0</v>
      </c>
      <c r="Q787" s="29">
        <f>'Таблица 3 '!C777</f>
        <v>1145490.24</v>
      </c>
      <c r="R787" s="29">
        <f t="shared" si="192"/>
        <v>1145490.24</v>
      </c>
      <c r="S787" s="42">
        <v>0</v>
      </c>
      <c r="T787" s="29">
        <f t="shared" si="169"/>
        <v>2891.1919232710752</v>
      </c>
      <c r="U787" s="29">
        <f t="shared" si="170"/>
        <v>2891.1919232710752</v>
      </c>
      <c r="V787" s="33" t="s">
        <v>569</v>
      </c>
    </row>
    <row r="788" spans="1:40" s="44" customFormat="1" ht="45" customHeight="1" x14ac:dyDescent="0.25">
      <c r="A788" s="25">
        <v>8</v>
      </c>
      <c r="B788" s="71" t="s">
        <v>732</v>
      </c>
      <c r="C788" s="94" t="s">
        <v>43</v>
      </c>
      <c r="D788" s="28">
        <v>1984</v>
      </c>
      <c r="E788" s="63" t="s">
        <v>39</v>
      </c>
      <c r="F788" s="28" t="s">
        <v>48</v>
      </c>
      <c r="G788" s="28">
        <v>5</v>
      </c>
      <c r="H788" s="28">
        <v>4</v>
      </c>
      <c r="I788" s="29">
        <v>3290.1</v>
      </c>
      <c r="J788" s="29">
        <v>2909.9</v>
      </c>
      <c r="K788" s="29">
        <v>2482.4</v>
      </c>
      <c r="L788" s="30">
        <v>64</v>
      </c>
      <c r="M788" s="29">
        <f t="shared" si="191"/>
        <v>8053282.5999999996</v>
      </c>
      <c r="N788" s="29">
        <v>0</v>
      </c>
      <c r="O788" s="29">
        <v>0</v>
      </c>
      <c r="P788" s="29">
        <v>0</v>
      </c>
      <c r="Q788" s="29">
        <f>'Таблица 3 '!C778</f>
        <v>8053282.5999999996</v>
      </c>
      <c r="R788" s="29">
        <f t="shared" si="192"/>
        <v>8053282.5999999996</v>
      </c>
      <c r="S788" s="42">
        <v>0</v>
      </c>
      <c r="T788" s="29">
        <f t="shared" si="169"/>
        <v>2767.5461699714765</v>
      </c>
      <c r="U788" s="29">
        <f t="shared" si="170"/>
        <v>2767.5461699714765</v>
      </c>
      <c r="V788" s="33" t="s">
        <v>569</v>
      </c>
    </row>
    <row r="789" spans="1:40" s="44" customFormat="1" ht="45" customHeight="1" x14ac:dyDescent="0.25">
      <c r="A789" s="25">
        <v>9</v>
      </c>
      <c r="B789" s="71" t="s">
        <v>511</v>
      </c>
      <c r="C789" s="94" t="s">
        <v>43</v>
      </c>
      <c r="D789" s="28">
        <v>1970</v>
      </c>
      <c r="E789" s="63">
        <v>2023</v>
      </c>
      <c r="F789" s="28" t="s">
        <v>48</v>
      </c>
      <c r="G789" s="28">
        <v>5</v>
      </c>
      <c r="H789" s="28">
        <v>4</v>
      </c>
      <c r="I789" s="29">
        <v>4312.3</v>
      </c>
      <c r="J789" s="29">
        <v>3441.9</v>
      </c>
      <c r="K789" s="29">
        <v>2469.9</v>
      </c>
      <c r="L789" s="30">
        <v>75</v>
      </c>
      <c r="M789" s="29">
        <f t="shared" si="191"/>
        <v>11871825.610000001</v>
      </c>
      <c r="N789" s="29">
        <v>0</v>
      </c>
      <c r="O789" s="29">
        <v>0</v>
      </c>
      <c r="P789" s="29">
        <v>0</v>
      </c>
      <c r="Q789" s="29">
        <f>'Таблица 3 '!C779</f>
        <v>11871825.610000001</v>
      </c>
      <c r="R789" s="29">
        <f t="shared" si="192"/>
        <v>11871825.610000001</v>
      </c>
      <c r="S789" s="42">
        <v>0</v>
      </c>
      <c r="T789" s="29">
        <f t="shared" ref="T789:T852" si="193">M789/J789</f>
        <v>3449.2070106627157</v>
      </c>
      <c r="U789" s="29">
        <f t="shared" si="170"/>
        <v>3449.2070106627157</v>
      </c>
      <c r="V789" s="33" t="s">
        <v>569</v>
      </c>
    </row>
    <row r="790" spans="1:40" s="44" customFormat="1" ht="45" customHeight="1" x14ac:dyDescent="0.25">
      <c r="A790" s="25">
        <v>10</v>
      </c>
      <c r="B790" s="38" t="s">
        <v>733</v>
      </c>
      <c r="C790" s="94" t="s">
        <v>43</v>
      </c>
      <c r="D790" s="28">
        <v>1985</v>
      </c>
      <c r="E790" s="63" t="s">
        <v>39</v>
      </c>
      <c r="F790" s="25" t="s">
        <v>77</v>
      </c>
      <c r="G790" s="28">
        <v>5</v>
      </c>
      <c r="H790" s="28">
        <v>4</v>
      </c>
      <c r="I790" s="29">
        <v>2875.86</v>
      </c>
      <c r="J790" s="29">
        <v>2868</v>
      </c>
      <c r="K790" s="29">
        <v>0</v>
      </c>
      <c r="L790" s="30">
        <v>60</v>
      </c>
      <c r="M790" s="29">
        <f t="shared" si="191"/>
        <v>21484181.350000001</v>
      </c>
      <c r="N790" s="29">
        <v>0</v>
      </c>
      <c r="O790" s="29">
        <v>0</v>
      </c>
      <c r="P790" s="29">
        <v>0</v>
      </c>
      <c r="Q790" s="29">
        <f>'Таблица 3 '!C780</f>
        <v>21484181.350000001</v>
      </c>
      <c r="R790" s="29">
        <f t="shared" si="192"/>
        <v>21484181.350000001</v>
      </c>
      <c r="S790" s="42">
        <v>0</v>
      </c>
      <c r="T790" s="29">
        <f t="shared" si="193"/>
        <v>7490.9976813110188</v>
      </c>
      <c r="U790" s="29">
        <f t="shared" si="170"/>
        <v>7490.9976813110188</v>
      </c>
      <c r="V790" s="33" t="s">
        <v>569</v>
      </c>
    </row>
    <row r="791" spans="1:40" s="44" customFormat="1" ht="45" customHeight="1" x14ac:dyDescent="0.25">
      <c r="A791" s="25">
        <v>11</v>
      </c>
      <c r="B791" s="38" t="s">
        <v>515</v>
      </c>
      <c r="C791" s="25" t="s">
        <v>43</v>
      </c>
      <c r="D791" s="28">
        <v>1975</v>
      </c>
      <c r="E791" s="63">
        <v>2018</v>
      </c>
      <c r="F791" s="25" t="s">
        <v>44</v>
      </c>
      <c r="G791" s="28">
        <v>2</v>
      </c>
      <c r="H791" s="28">
        <v>1</v>
      </c>
      <c r="I791" s="29">
        <v>376.6</v>
      </c>
      <c r="J791" s="29">
        <v>376.6</v>
      </c>
      <c r="K791" s="29">
        <v>332.4</v>
      </c>
      <c r="L791" s="30">
        <v>16</v>
      </c>
      <c r="M791" s="29">
        <f t="shared" si="191"/>
        <v>4583984.16</v>
      </c>
      <c r="N791" s="29">
        <v>0</v>
      </c>
      <c r="O791" s="29">
        <v>0</v>
      </c>
      <c r="P791" s="29">
        <v>0</v>
      </c>
      <c r="Q791" s="29">
        <f>'Таблица 3 '!C781</f>
        <v>4583984.16</v>
      </c>
      <c r="R791" s="29">
        <f t="shared" si="192"/>
        <v>4583984.16</v>
      </c>
      <c r="S791" s="42">
        <v>0</v>
      </c>
      <c r="T791" s="29">
        <f t="shared" si="193"/>
        <v>12172.023791821561</v>
      </c>
      <c r="U791" s="29">
        <f t="shared" ref="U791:U853" si="194">T791</f>
        <v>12172.023791821561</v>
      </c>
      <c r="V791" s="33" t="s">
        <v>569</v>
      </c>
    </row>
    <row r="792" spans="1:40" s="44" customFormat="1" ht="45" customHeight="1" x14ac:dyDescent="0.25">
      <c r="A792" s="25">
        <v>12</v>
      </c>
      <c r="B792" s="38" t="s">
        <v>734</v>
      </c>
      <c r="C792" s="94" t="s">
        <v>43</v>
      </c>
      <c r="D792" s="28">
        <v>1996</v>
      </c>
      <c r="E792" s="63" t="s">
        <v>39</v>
      </c>
      <c r="F792" s="25" t="s">
        <v>563</v>
      </c>
      <c r="G792" s="28">
        <v>2</v>
      </c>
      <c r="H792" s="28">
        <v>2</v>
      </c>
      <c r="I792" s="29">
        <v>618</v>
      </c>
      <c r="J792" s="29">
        <v>589.6</v>
      </c>
      <c r="K792" s="29">
        <v>0</v>
      </c>
      <c r="L792" s="30">
        <v>8</v>
      </c>
      <c r="M792" s="29">
        <f t="shared" si="191"/>
        <v>5958371.5700000003</v>
      </c>
      <c r="N792" s="29">
        <v>0</v>
      </c>
      <c r="O792" s="29">
        <v>0</v>
      </c>
      <c r="P792" s="29">
        <v>0</v>
      </c>
      <c r="Q792" s="29">
        <f>'Таблица 3 '!C782</f>
        <v>5958371.5700000003</v>
      </c>
      <c r="R792" s="29">
        <f t="shared" si="192"/>
        <v>5958371.5700000003</v>
      </c>
      <c r="S792" s="42">
        <v>0</v>
      </c>
      <c r="T792" s="29">
        <f t="shared" si="193"/>
        <v>10105.786244911806</v>
      </c>
      <c r="U792" s="29">
        <f t="shared" si="194"/>
        <v>10105.786244911806</v>
      </c>
      <c r="V792" s="33" t="s">
        <v>569</v>
      </c>
    </row>
    <row r="793" spans="1:40" s="44" customFormat="1" ht="45" customHeight="1" x14ac:dyDescent="0.25">
      <c r="A793" s="25">
        <v>13</v>
      </c>
      <c r="B793" s="38" t="s">
        <v>735</v>
      </c>
      <c r="C793" s="94" t="s">
        <v>43</v>
      </c>
      <c r="D793" s="28">
        <v>2005</v>
      </c>
      <c r="E793" s="63" t="s">
        <v>39</v>
      </c>
      <c r="F793" s="25" t="s">
        <v>77</v>
      </c>
      <c r="G793" s="28">
        <v>2</v>
      </c>
      <c r="H793" s="28">
        <v>2</v>
      </c>
      <c r="I793" s="29">
        <v>743.56</v>
      </c>
      <c r="J793" s="29">
        <v>570.79999999999995</v>
      </c>
      <c r="K793" s="29">
        <v>0</v>
      </c>
      <c r="L793" s="30">
        <v>12</v>
      </c>
      <c r="M793" s="29">
        <f t="shared" si="191"/>
        <v>5785320.2599999998</v>
      </c>
      <c r="N793" s="29">
        <v>0</v>
      </c>
      <c r="O793" s="29">
        <v>0</v>
      </c>
      <c r="P793" s="29">
        <v>0</v>
      </c>
      <c r="Q793" s="29">
        <f>'Таблица 3 '!C783</f>
        <v>5785320.2599999998</v>
      </c>
      <c r="R793" s="29">
        <f t="shared" si="192"/>
        <v>5785320.2599999998</v>
      </c>
      <c r="S793" s="42">
        <v>0</v>
      </c>
      <c r="T793" s="29">
        <f t="shared" si="193"/>
        <v>10135.459460406448</v>
      </c>
      <c r="U793" s="29">
        <f t="shared" si="194"/>
        <v>10135.459460406448</v>
      </c>
      <c r="V793" s="33" t="s">
        <v>569</v>
      </c>
    </row>
    <row r="794" spans="1:40" s="44" customFormat="1" ht="45" customHeight="1" x14ac:dyDescent="0.25">
      <c r="A794" s="25">
        <v>14</v>
      </c>
      <c r="B794" s="38" t="s">
        <v>736</v>
      </c>
      <c r="C794" s="94" t="s">
        <v>43</v>
      </c>
      <c r="D794" s="28">
        <v>1987</v>
      </c>
      <c r="E794" s="63" t="s">
        <v>39</v>
      </c>
      <c r="F794" s="25" t="s">
        <v>77</v>
      </c>
      <c r="G794" s="28">
        <v>2</v>
      </c>
      <c r="H794" s="28">
        <v>2</v>
      </c>
      <c r="I794" s="29">
        <v>767.4</v>
      </c>
      <c r="J794" s="29">
        <v>560</v>
      </c>
      <c r="K794" s="29">
        <v>0</v>
      </c>
      <c r="L794" s="30">
        <v>12</v>
      </c>
      <c r="M794" s="29">
        <f t="shared" si="191"/>
        <v>5951501.8099999996</v>
      </c>
      <c r="N794" s="29">
        <v>0</v>
      </c>
      <c r="O794" s="29">
        <v>0</v>
      </c>
      <c r="P794" s="29">
        <v>0</v>
      </c>
      <c r="Q794" s="29">
        <f>'Таблица 3 '!C784</f>
        <v>5951501.8099999996</v>
      </c>
      <c r="R794" s="29">
        <f t="shared" si="192"/>
        <v>5951501.8099999996</v>
      </c>
      <c r="S794" s="42">
        <v>0</v>
      </c>
      <c r="T794" s="29">
        <f t="shared" si="193"/>
        <v>10627.681803571428</v>
      </c>
      <c r="U794" s="29">
        <f t="shared" si="194"/>
        <v>10627.681803571428</v>
      </c>
      <c r="V794" s="33" t="s">
        <v>569</v>
      </c>
    </row>
    <row r="795" spans="1:40" s="44" customFormat="1" ht="45" customHeight="1" x14ac:dyDescent="0.25">
      <c r="A795" s="25">
        <v>15</v>
      </c>
      <c r="B795" s="38" t="s">
        <v>737</v>
      </c>
      <c r="C795" s="94" t="s">
        <v>43</v>
      </c>
      <c r="D795" s="28">
        <v>1990</v>
      </c>
      <c r="E795" s="63" t="s">
        <v>39</v>
      </c>
      <c r="F795" s="25" t="s">
        <v>77</v>
      </c>
      <c r="G795" s="28">
        <v>5</v>
      </c>
      <c r="H795" s="28">
        <v>4</v>
      </c>
      <c r="I795" s="29">
        <v>4493</v>
      </c>
      <c r="J795" s="29">
        <v>2792.1</v>
      </c>
      <c r="K795" s="29">
        <v>0</v>
      </c>
      <c r="L795" s="30">
        <v>60</v>
      </c>
      <c r="M795" s="29">
        <f t="shared" si="191"/>
        <v>16248742.83</v>
      </c>
      <c r="N795" s="29">
        <v>0</v>
      </c>
      <c r="O795" s="29">
        <v>0</v>
      </c>
      <c r="P795" s="29">
        <v>0</v>
      </c>
      <c r="Q795" s="29">
        <f>'Таблица 3 '!C785</f>
        <v>16248742.83</v>
      </c>
      <c r="R795" s="29">
        <f t="shared" si="192"/>
        <v>16248742.83</v>
      </c>
      <c r="S795" s="42">
        <v>0</v>
      </c>
      <c r="T795" s="29">
        <f t="shared" si="193"/>
        <v>5819.541860964865</v>
      </c>
      <c r="U795" s="29">
        <f t="shared" si="194"/>
        <v>5819.541860964865</v>
      </c>
      <c r="V795" s="33" t="s">
        <v>569</v>
      </c>
    </row>
    <row r="796" spans="1:40" s="44" customFormat="1" ht="45" customHeight="1" x14ac:dyDescent="0.25">
      <c r="A796" s="25">
        <v>16</v>
      </c>
      <c r="B796" s="38" t="s">
        <v>738</v>
      </c>
      <c r="C796" s="25" t="s">
        <v>43</v>
      </c>
      <c r="D796" s="28">
        <v>1983</v>
      </c>
      <c r="E796" s="63" t="s">
        <v>39</v>
      </c>
      <c r="F796" s="25" t="s">
        <v>48</v>
      </c>
      <c r="G796" s="28">
        <v>5</v>
      </c>
      <c r="H796" s="28">
        <v>6</v>
      </c>
      <c r="I796" s="32">
        <v>5768.6</v>
      </c>
      <c r="J796" s="32">
        <v>4414.3</v>
      </c>
      <c r="K796" s="32">
        <v>4414.3</v>
      </c>
      <c r="L796" s="35">
        <v>160</v>
      </c>
      <c r="M796" s="29">
        <f t="shared" si="191"/>
        <v>350382</v>
      </c>
      <c r="N796" s="29">
        <v>0</v>
      </c>
      <c r="O796" s="29">
        <v>0</v>
      </c>
      <c r="P796" s="29">
        <v>0</v>
      </c>
      <c r="Q796" s="29">
        <f>'Таблица 3 '!C786</f>
        <v>350382</v>
      </c>
      <c r="R796" s="29">
        <f t="shared" si="192"/>
        <v>350382</v>
      </c>
      <c r="S796" s="75">
        <v>0</v>
      </c>
      <c r="T796" s="29">
        <f t="shared" si="193"/>
        <v>79.374306232018668</v>
      </c>
      <c r="U796" s="29">
        <f t="shared" si="194"/>
        <v>79.374306232018668</v>
      </c>
      <c r="V796" s="33" t="s">
        <v>569</v>
      </c>
    </row>
    <row r="797" spans="1:40" s="44" customFormat="1" ht="45" customHeight="1" x14ac:dyDescent="0.25">
      <c r="A797" s="25">
        <v>17</v>
      </c>
      <c r="B797" s="38" t="s">
        <v>739</v>
      </c>
      <c r="C797" s="25" t="s">
        <v>43</v>
      </c>
      <c r="D797" s="28">
        <v>1979</v>
      </c>
      <c r="E797" s="63" t="s">
        <v>39</v>
      </c>
      <c r="F797" s="25" t="s">
        <v>44</v>
      </c>
      <c r="G797" s="28">
        <v>2</v>
      </c>
      <c r="H797" s="28">
        <v>2</v>
      </c>
      <c r="I797" s="32">
        <v>3987.8</v>
      </c>
      <c r="J797" s="32">
        <v>3128.4</v>
      </c>
      <c r="K797" s="32">
        <v>0</v>
      </c>
      <c r="L797" s="35">
        <v>6</v>
      </c>
      <c r="M797" s="29">
        <f t="shared" si="191"/>
        <v>22901492.329999998</v>
      </c>
      <c r="N797" s="29">
        <v>0</v>
      </c>
      <c r="O797" s="29">
        <v>0</v>
      </c>
      <c r="P797" s="29">
        <v>0</v>
      </c>
      <c r="Q797" s="29">
        <f>'Таблица 3 '!C787</f>
        <v>22901492.329999998</v>
      </c>
      <c r="R797" s="29">
        <f t="shared" si="192"/>
        <v>22901492.329999998</v>
      </c>
      <c r="S797" s="42">
        <v>0</v>
      </c>
      <c r="T797" s="29">
        <f t="shared" si="193"/>
        <v>7320.5128276435235</v>
      </c>
      <c r="U797" s="29">
        <f t="shared" si="194"/>
        <v>7320.5128276435235</v>
      </c>
      <c r="V797" s="33" t="s">
        <v>569</v>
      </c>
    </row>
    <row r="798" spans="1:40" s="44" customFormat="1" ht="45" customHeight="1" x14ac:dyDescent="0.25">
      <c r="A798" s="25">
        <v>18</v>
      </c>
      <c r="B798" s="38" t="s">
        <v>740</v>
      </c>
      <c r="C798" s="25" t="s">
        <v>43</v>
      </c>
      <c r="D798" s="28">
        <v>1985</v>
      </c>
      <c r="E798" s="63" t="s">
        <v>39</v>
      </c>
      <c r="F798" s="25" t="s">
        <v>44</v>
      </c>
      <c r="G798" s="28">
        <v>2</v>
      </c>
      <c r="H798" s="28">
        <v>2</v>
      </c>
      <c r="I798" s="32">
        <v>3911.5</v>
      </c>
      <c r="J798" s="32">
        <v>2868.9</v>
      </c>
      <c r="K798" s="32">
        <v>0</v>
      </c>
      <c r="L798" s="35">
        <v>6</v>
      </c>
      <c r="M798" s="29">
        <f t="shared" si="191"/>
        <v>21488309.440000001</v>
      </c>
      <c r="N798" s="29">
        <v>0</v>
      </c>
      <c r="O798" s="29">
        <v>0</v>
      </c>
      <c r="P798" s="29">
        <v>0</v>
      </c>
      <c r="Q798" s="29">
        <f>'Таблица 3 '!C788</f>
        <v>21488309.440000001</v>
      </c>
      <c r="R798" s="29">
        <f t="shared" si="192"/>
        <v>21488309.440000001</v>
      </c>
      <c r="S798" s="75">
        <v>0</v>
      </c>
      <c r="T798" s="29">
        <f t="shared" si="193"/>
        <v>7490.0865976506675</v>
      </c>
      <c r="U798" s="29">
        <f t="shared" si="194"/>
        <v>7490.0865976506675</v>
      </c>
      <c r="V798" s="33" t="s">
        <v>569</v>
      </c>
    </row>
    <row r="799" spans="1:40" s="44" customFormat="1" ht="25.5" customHeight="1" x14ac:dyDescent="0.25">
      <c r="A799" s="326" t="s">
        <v>741</v>
      </c>
      <c r="B799" s="326"/>
      <c r="C799" s="78" t="s">
        <v>39</v>
      </c>
      <c r="D799" s="122" t="s">
        <v>39</v>
      </c>
      <c r="E799" s="80" t="s">
        <v>39</v>
      </c>
      <c r="F799" s="78" t="s">
        <v>39</v>
      </c>
      <c r="G799" s="81" t="s">
        <v>39</v>
      </c>
      <c r="H799" s="81" t="s">
        <v>39</v>
      </c>
      <c r="I799" s="60">
        <f t="shared" ref="I799:S799" si="195">I800</f>
        <v>1156.4000000000001</v>
      </c>
      <c r="J799" s="60">
        <f t="shared" si="195"/>
        <v>744.7</v>
      </c>
      <c r="K799" s="60">
        <f t="shared" si="195"/>
        <v>543.1</v>
      </c>
      <c r="L799" s="61">
        <f t="shared" si="195"/>
        <v>26</v>
      </c>
      <c r="M799" s="60">
        <f t="shared" si="195"/>
        <v>7386044.8600000003</v>
      </c>
      <c r="N799" s="60">
        <f t="shared" si="195"/>
        <v>0</v>
      </c>
      <c r="O799" s="60">
        <f t="shared" si="195"/>
        <v>0</v>
      </c>
      <c r="P799" s="60">
        <f t="shared" si="195"/>
        <v>0</v>
      </c>
      <c r="Q799" s="60">
        <f t="shared" si="195"/>
        <v>7386044.8600000003</v>
      </c>
      <c r="R799" s="60">
        <f t="shared" si="195"/>
        <v>7386044.8600000003</v>
      </c>
      <c r="S799" s="60">
        <f t="shared" si="195"/>
        <v>0</v>
      </c>
      <c r="T799" s="24" t="s">
        <v>39</v>
      </c>
      <c r="U799" s="121" t="s">
        <v>39</v>
      </c>
      <c r="V799" s="62" t="s">
        <v>39</v>
      </c>
    </row>
    <row r="800" spans="1:40" s="44" customFormat="1" ht="44.45" customHeight="1" x14ac:dyDescent="0.25">
      <c r="A800" s="25">
        <v>1</v>
      </c>
      <c r="B800" s="26" t="s">
        <v>742</v>
      </c>
      <c r="C800" s="25" t="s">
        <v>43</v>
      </c>
      <c r="D800" s="27" t="s">
        <v>522</v>
      </c>
      <c r="E800" s="96" t="s">
        <v>40</v>
      </c>
      <c r="F800" s="25" t="s">
        <v>44</v>
      </c>
      <c r="G800" s="28">
        <v>2</v>
      </c>
      <c r="H800" s="28">
        <v>2</v>
      </c>
      <c r="I800" s="29">
        <v>1156.4000000000001</v>
      </c>
      <c r="J800" s="29">
        <v>744.7</v>
      </c>
      <c r="K800" s="29">
        <v>543.1</v>
      </c>
      <c r="L800" s="73">
        <v>26</v>
      </c>
      <c r="M800" s="31">
        <f>SUM(N800:Q800)</f>
        <v>7386044.8600000003</v>
      </c>
      <c r="N800" s="29">
        <v>0</v>
      </c>
      <c r="O800" s="29">
        <v>0</v>
      </c>
      <c r="P800" s="29">
        <v>0</v>
      </c>
      <c r="Q800" s="29">
        <f>'Таблица 3 '!C790</f>
        <v>7386044.8600000003</v>
      </c>
      <c r="R800" s="29">
        <f>Q800</f>
        <v>7386044.8600000003</v>
      </c>
      <c r="S800" s="29">
        <v>0</v>
      </c>
      <c r="T800" s="32">
        <f t="shared" si="193"/>
        <v>9918.1480596213241</v>
      </c>
      <c r="U800" s="83">
        <f t="shared" si="194"/>
        <v>9918.1480596213241</v>
      </c>
      <c r="V800" s="33" t="s">
        <v>569</v>
      </c>
      <c r="W800" s="40"/>
      <c r="X800" s="40"/>
      <c r="Y800" s="40"/>
      <c r="Z800" s="40"/>
      <c r="AA800" s="40"/>
      <c r="AB800" s="40"/>
      <c r="AC800" s="40"/>
      <c r="AD800" s="40"/>
      <c r="AE800" s="40"/>
      <c r="AF800" s="40"/>
      <c r="AG800" s="40"/>
      <c r="AH800" s="40"/>
      <c r="AI800" s="40"/>
      <c r="AJ800" s="40"/>
      <c r="AK800" s="40"/>
      <c r="AL800" s="40"/>
      <c r="AM800" s="40"/>
      <c r="AN800" s="40"/>
    </row>
    <row r="801" spans="1:23" s="44" customFormat="1" ht="25.5" customHeight="1" x14ac:dyDescent="0.25">
      <c r="A801" s="326" t="s">
        <v>516</v>
      </c>
      <c r="B801" s="326"/>
      <c r="C801" s="78" t="s">
        <v>39</v>
      </c>
      <c r="D801" s="79" t="s">
        <v>39</v>
      </c>
      <c r="E801" s="80" t="s">
        <v>39</v>
      </c>
      <c r="F801" s="78" t="s">
        <v>39</v>
      </c>
      <c r="G801" s="81" t="s">
        <v>39</v>
      </c>
      <c r="H801" s="81" t="s">
        <v>39</v>
      </c>
      <c r="I801" s="60">
        <f t="shared" ref="I801:S801" si="196">SUM(I802:I821)</f>
        <v>22104.559999999998</v>
      </c>
      <c r="J801" s="60">
        <f t="shared" si="196"/>
        <v>20510.699999999997</v>
      </c>
      <c r="K801" s="60">
        <f t="shared" si="196"/>
        <v>19322.799999999996</v>
      </c>
      <c r="L801" s="61">
        <f t="shared" si="196"/>
        <v>979</v>
      </c>
      <c r="M801" s="60">
        <f t="shared" si="196"/>
        <v>86201098.680000022</v>
      </c>
      <c r="N801" s="60">
        <f t="shared" si="196"/>
        <v>0</v>
      </c>
      <c r="O801" s="60">
        <f t="shared" si="196"/>
        <v>0</v>
      </c>
      <c r="P801" s="60">
        <f t="shared" si="196"/>
        <v>0</v>
      </c>
      <c r="Q801" s="60">
        <f t="shared" si="196"/>
        <v>86201098.680000022</v>
      </c>
      <c r="R801" s="60">
        <f t="shared" si="196"/>
        <v>86201098.680000022</v>
      </c>
      <c r="S801" s="60">
        <f t="shared" si="196"/>
        <v>0</v>
      </c>
      <c r="T801" s="24" t="s">
        <v>39</v>
      </c>
      <c r="U801" s="121" t="s">
        <v>39</v>
      </c>
      <c r="V801" s="62" t="s">
        <v>39</v>
      </c>
    </row>
    <row r="802" spans="1:23" s="40" customFormat="1" ht="47.25" customHeight="1" x14ac:dyDescent="0.25">
      <c r="A802" s="25">
        <v>1</v>
      </c>
      <c r="B802" s="26" t="s">
        <v>529</v>
      </c>
      <c r="C802" s="25" t="s">
        <v>43</v>
      </c>
      <c r="D802" s="27" t="s">
        <v>200</v>
      </c>
      <c r="E802" s="96" t="s">
        <v>40</v>
      </c>
      <c r="F802" s="25" t="s">
        <v>44</v>
      </c>
      <c r="G802" s="28">
        <v>2</v>
      </c>
      <c r="H802" s="28">
        <v>3</v>
      </c>
      <c r="I802" s="73">
        <v>625.5</v>
      </c>
      <c r="J802" s="73">
        <v>625.5</v>
      </c>
      <c r="K802" s="73">
        <v>625.5</v>
      </c>
      <c r="L802" s="73">
        <v>48</v>
      </c>
      <c r="M802" s="31">
        <f t="shared" ref="M802:M821" si="197">SUM(N802:Q802)</f>
        <v>7045039.8099999996</v>
      </c>
      <c r="N802" s="29">
        <v>0</v>
      </c>
      <c r="O802" s="29">
        <v>0</v>
      </c>
      <c r="P802" s="29">
        <v>0</v>
      </c>
      <c r="Q802" s="29">
        <f>'Таблица 3 '!C792</f>
        <v>7045039.8099999996</v>
      </c>
      <c r="R802" s="29">
        <f t="shared" ref="R802:R821" si="198">Q802</f>
        <v>7045039.8099999996</v>
      </c>
      <c r="S802" s="29">
        <v>0</v>
      </c>
      <c r="T802" s="32">
        <f t="shared" si="193"/>
        <v>11263.053253397282</v>
      </c>
      <c r="U802" s="83">
        <f t="shared" si="194"/>
        <v>11263.053253397282</v>
      </c>
      <c r="V802" s="33" t="s">
        <v>569</v>
      </c>
    </row>
    <row r="803" spans="1:23" s="40" customFormat="1" ht="42" customHeight="1" x14ac:dyDescent="0.25">
      <c r="A803" s="25">
        <v>2</v>
      </c>
      <c r="B803" s="26" t="s">
        <v>743</v>
      </c>
      <c r="C803" s="25" t="s">
        <v>43</v>
      </c>
      <c r="D803" s="27" t="s">
        <v>83</v>
      </c>
      <c r="E803" s="27" t="s">
        <v>39</v>
      </c>
      <c r="F803" s="25" t="s">
        <v>77</v>
      </c>
      <c r="G803" s="28" t="s">
        <v>420</v>
      </c>
      <c r="H803" s="28" t="s">
        <v>461</v>
      </c>
      <c r="I803" s="29">
        <v>627.70000000000005</v>
      </c>
      <c r="J803" s="29">
        <v>594.20000000000005</v>
      </c>
      <c r="K803" s="29">
        <v>567.9</v>
      </c>
      <c r="L803" s="30">
        <v>23</v>
      </c>
      <c r="M803" s="31">
        <f t="shared" si="197"/>
        <v>664337.73</v>
      </c>
      <c r="N803" s="29">
        <v>0</v>
      </c>
      <c r="O803" s="29">
        <v>0</v>
      </c>
      <c r="P803" s="29">
        <v>0</v>
      </c>
      <c r="Q803" s="29">
        <f>'Таблица 3 '!C793</f>
        <v>664337.73</v>
      </c>
      <c r="R803" s="29">
        <f t="shared" si="198"/>
        <v>664337.73</v>
      </c>
      <c r="S803" s="29">
        <v>0</v>
      </c>
      <c r="T803" s="32">
        <f t="shared" si="193"/>
        <v>1118.0372433524064</v>
      </c>
      <c r="U803" s="83">
        <f t="shared" si="194"/>
        <v>1118.0372433524064</v>
      </c>
      <c r="V803" s="33" t="s">
        <v>569</v>
      </c>
    </row>
    <row r="804" spans="1:23" s="40" customFormat="1" ht="43.5" customHeight="1" x14ac:dyDescent="0.25">
      <c r="A804" s="25">
        <v>3</v>
      </c>
      <c r="B804" s="26" t="s">
        <v>530</v>
      </c>
      <c r="C804" s="25" t="s">
        <v>43</v>
      </c>
      <c r="D804" s="27" t="s">
        <v>200</v>
      </c>
      <c r="E804" s="27" t="s">
        <v>39</v>
      </c>
      <c r="F804" s="25" t="s">
        <v>77</v>
      </c>
      <c r="G804" s="28" t="s">
        <v>420</v>
      </c>
      <c r="H804" s="28" t="s">
        <v>461</v>
      </c>
      <c r="I804" s="29">
        <v>559.20000000000005</v>
      </c>
      <c r="J804" s="29">
        <v>517.70000000000005</v>
      </c>
      <c r="K804" s="29">
        <v>517.70000000000005</v>
      </c>
      <c r="L804" s="30">
        <v>15</v>
      </c>
      <c r="M804" s="31">
        <f t="shared" si="197"/>
        <v>3346180.12</v>
      </c>
      <c r="N804" s="29">
        <v>0</v>
      </c>
      <c r="O804" s="29">
        <v>0</v>
      </c>
      <c r="P804" s="29">
        <v>0</v>
      </c>
      <c r="Q804" s="29">
        <f>'Таблица 3 '!C794</f>
        <v>3346180.12</v>
      </c>
      <c r="R804" s="29">
        <f t="shared" si="198"/>
        <v>3346180.12</v>
      </c>
      <c r="S804" s="29">
        <v>0</v>
      </c>
      <c r="T804" s="32">
        <f t="shared" si="193"/>
        <v>6463.550550511879</v>
      </c>
      <c r="U804" s="83">
        <f t="shared" si="194"/>
        <v>6463.550550511879</v>
      </c>
      <c r="V804" s="33" t="s">
        <v>569</v>
      </c>
    </row>
    <row r="805" spans="1:23" s="40" customFormat="1" ht="47.25" customHeight="1" x14ac:dyDescent="0.25">
      <c r="A805" s="25">
        <v>4</v>
      </c>
      <c r="B805" s="26" t="s">
        <v>532</v>
      </c>
      <c r="C805" s="25" t="s">
        <v>43</v>
      </c>
      <c r="D805" s="27" t="s">
        <v>205</v>
      </c>
      <c r="E805" s="96" t="s">
        <v>39</v>
      </c>
      <c r="F805" s="25" t="s">
        <v>44</v>
      </c>
      <c r="G805" s="28">
        <v>5</v>
      </c>
      <c r="H805" s="28">
        <v>4</v>
      </c>
      <c r="I805" s="89">
        <v>2855.7</v>
      </c>
      <c r="J805" s="89">
        <v>2657.2</v>
      </c>
      <c r="K805" s="89">
        <v>2657.2</v>
      </c>
      <c r="L805" s="90">
        <v>180</v>
      </c>
      <c r="M805" s="31">
        <f t="shared" si="197"/>
        <v>18473186.109999999</v>
      </c>
      <c r="N805" s="29">
        <v>0</v>
      </c>
      <c r="O805" s="29">
        <v>0</v>
      </c>
      <c r="P805" s="29">
        <v>0</v>
      </c>
      <c r="Q805" s="29">
        <f>'Таблица 3 '!C795</f>
        <v>18473186.109999999</v>
      </c>
      <c r="R805" s="29">
        <f t="shared" si="198"/>
        <v>18473186.109999999</v>
      </c>
      <c r="S805" s="29">
        <v>0</v>
      </c>
      <c r="T805" s="32">
        <f t="shared" si="193"/>
        <v>6952.1248344121632</v>
      </c>
      <c r="U805" s="83">
        <f t="shared" si="194"/>
        <v>6952.1248344121632</v>
      </c>
      <c r="V805" s="33" t="s">
        <v>569</v>
      </c>
    </row>
    <row r="806" spans="1:23" s="40" customFormat="1" ht="47.25" customHeight="1" x14ac:dyDescent="0.25">
      <c r="A806" s="25">
        <v>5</v>
      </c>
      <c r="B806" s="26" t="s">
        <v>534</v>
      </c>
      <c r="C806" s="25" t="s">
        <v>43</v>
      </c>
      <c r="D806" s="27" t="s">
        <v>370</v>
      </c>
      <c r="E806" s="96" t="s">
        <v>57</v>
      </c>
      <c r="F806" s="25" t="s">
        <v>44</v>
      </c>
      <c r="G806" s="28">
        <v>5</v>
      </c>
      <c r="H806" s="28">
        <v>4</v>
      </c>
      <c r="I806" s="89">
        <v>2996</v>
      </c>
      <c r="J806" s="89">
        <v>2846</v>
      </c>
      <c r="K806" s="89">
        <v>2846</v>
      </c>
      <c r="L806" s="90">
        <v>180</v>
      </c>
      <c r="M806" s="31">
        <f t="shared" si="197"/>
        <v>14824129.32</v>
      </c>
      <c r="N806" s="29">
        <v>0</v>
      </c>
      <c r="O806" s="29">
        <v>0</v>
      </c>
      <c r="P806" s="29">
        <v>0</v>
      </c>
      <c r="Q806" s="29">
        <f>'Таблица 3 '!C796</f>
        <v>14824129.32</v>
      </c>
      <c r="R806" s="29">
        <f t="shared" si="198"/>
        <v>14824129.32</v>
      </c>
      <c r="S806" s="29">
        <v>0</v>
      </c>
      <c r="T806" s="32">
        <f t="shared" si="193"/>
        <v>5208.7594237526355</v>
      </c>
      <c r="U806" s="83">
        <f t="shared" si="194"/>
        <v>5208.7594237526355</v>
      </c>
      <c r="V806" s="33" t="s">
        <v>569</v>
      </c>
    </row>
    <row r="807" spans="1:23" s="40" customFormat="1" ht="47.25" customHeight="1" x14ac:dyDescent="0.25">
      <c r="A807" s="25">
        <v>6</v>
      </c>
      <c r="B807" s="34" t="s">
        <v>540</v>
      </c>
      <c r="C807" s="25" t="s">
        <v>43</v>
      </c>
      <c r="D807" s="27" t="s">
        <v>200</v>
      </c>
      <c r="E807" s="27" t="s">
        <v>39</v>
      </c>
      <c r="F807" s="25" t="s">
        <v>77</v>
      </c>
      <c r="G807" s="28" t="s">
        <v>415</v>
      </c>
      <c r="H807" s="28" t="s">
        <v>461</v>
      </c>
      <c r="I807" s="32">
        <v>2124.4</v>
      </c>
      <c r="J807" s="32">
        <v>1974.6</v>
      </c>
      <c r="K807" s="32">
        <v>1858.4</v>
      </c>
      <c r="L807" s="35">
        <v>84</v>
      </c>
      <c r="M807" s="31">
        <f t="shared" si="197"/>
        <v>390184.42</v>
      </c>
      <c r="N807" s="29">
        <v>0</v>
      </c>
      <c r="O807" s="29">
        <v>0</v>
      </c>
      <c r="P807" s="29">
        <v>0</v>
      </c>
      <c r="Q807" s="29">
        <f>'Таблица 3 '!C797</f>
        <v>390184.42</v>
      </c>
      <c r="R807" s="29">
        <f t="shared" si="198"/>
        <v>390184.42</v>
      </c>
      <c r="S807" s="29">
        <v>0</v>
      </c>
      <c r="T807" s="32">
        <f t="shared" si="193"/>
        <v>197.60175225362099</v>
      </c>
      <c r="U807" s="83">
        <f t="shared" si="194"/>
        <v>197.60175225362099</v>
      </c>
      <c r="V807" s="33" t="s">
        <v>569</v>
      </c>
      <c r="W807" s="44"/>
    </row>
    <row r="808" spans="1:23" s="44" customFormat="1" ht="42.75" customHeight="1" x14ac:dyDescent="0.25">
      <c r="A808" s="25">
        <v>7</v>
      </c>
      <c r="B808" s="26" t="s">
        <v>744</v>
      </c>
      <c r="C808" s="25" t="s">
        <v>43</v>
      </c>
      <c r="D808" s="27" t="s">
        <v>195</v>
      </c>
      <c r="E808" s="27" t="s">
        <v>39</v>
      </c>
      <c r="F808" s="25" t="s">
        <v>77</v>
      </c>
      <c r="G808" s="28" t="s">
        <v>420</v>
      </c>
      <c r="H808" s="28" t="s">
        <v>420</v>
      </c>
      <c r="I808" s="29">
        <v>669.4</v>
      </c>
      <c r="J808" s="29">
        <v>618.91</v>
      </c>
      <c r="K808" s="29">
        <v>494.21</v>
      </c>
      <c r="L808" s="30">
        <v>31</v>
      </c>
      <c r="M808" s="31">
        <f t="shared" si="197"/>
        <v>2972346.33</v>
      </c>
      <c r="N808" s="29">
        <v>0</v>
      </c>
      <c r="O808" s="29">
        <v>0</v>
      </c>
      <c r="P808" s="29">
        <v>0</v>
      </c>
      <c r="Q808" s="29">
        <f>'Таблица 3 '!C798</f>
        <v>2972346.33</v>
      </c>
      <c r="R808" s="29">
        <f t="shared" si="198"/>
        <v>2972346.33</v>
      </c>
      <c r="S808" s="29">
        <v>0</v>
      </c>
      <c r="T808" s="29">
        <f t="shared" si="193"/>
        <v>4802.5501769239472</v>
      </c>
      <c r="U808" s="31">
        <f t="shared" si="194"/>
        <v>4802.5501769239472</v>
      </c>
      <c r="V808" s="33" t="s">
        <v>569</v>
      </c>
    </row>
    <row r="809" spans="1:23" s="44" customFormat="1" ht="42.75" customHeight="1" x14ac:dyDescent="0.25">
      <c r="A809" s="25">
        <v>8</v>
      </c>
      <c r="B809" s="26" t="s">
        <v>745</v>
      </c>
      <c r="C809" s="25" t="s">
        <v>43</v>
      </c>
      <c r="D809" s="27" t="s">
        <v>225</v>
      </c>
      <c r="E809" s="27" t="s">
        <v>39</v>
      </c>
      <c r="F809" s="25" t="s">
        <v>514</v>
      </c>
      <c r="G809" s="28" t="s">
        <v>420</v>
      </c>
      <c r="H809" s="28">
        <v>1</v>
      </c>
      <c r="I809" s="29">
        <v>566.29999999999995</v>
      </c>
      <c r="J809" s="29">
        <v>521.29</v>
      </c>
      <c r="K809" s="29">
        <v>521.29</v>
      </c>
      <c r="L809" s="30">
        <v>28</v>
      </c>
      <c r="M809" s="31">
        <f t="shared" si="197"/>
        <v>1248522.01</v>
      </c>
      <c r="N809" s="29">
        <v>0</v>
      </c>
      <c r="O809" s="29">
        <v>0</v>
      </c>
      <c r="P809" s="29">
        <v>0</v>
      </c>
      <c r="Q809" s="29">
        <f>'Таблица 3 '!C799</f>
        <v>1248522.01</v>
      </c>
      <c r="R809" s="29">
        <f t="shared" si="198"/>
        <v>1248522.01</v>
      </c>
      <c r="S809" s="29">
        <v>0</v>
      </c>
      <c r="T809" s="29">
        <f t="shared" si="193"/>
        <v>2395.0622686028892</v>
      </c>
      <c r="U809" s="31">
        <f t="shared" si="194"/>
        <v>2395.0622686028892</v>
      </c>
      <c r="V809" s="33" t="s">
        <v>569</v>
      </c>
    </row>
    <row r="810" spans="1:23" s="44" customFormat="1" ht="42.75" customHeight="1" x14ac:dyDescent="0.25">
      <c r="A810" s="25">
        <v>9</v>
      </c>
      <c r="B810" s="26" t="s">
        <v>545</v>
      </c>
      <c r="C810" s="25" t="s">
        <v>43</v>
      </c>
      <c r="D810" s="27" t="s">
        <v>200</v>
      </c>
      <c r="E810" s="27" t="s">
        <v>39</v>
      </c>
      <c r="F810" s="25" t="s">
        <v>456</v>
      </c>
      <c r="G810" s="28" t="s">
        <v>420</v>
      </c>
      <c r="H810" s="28">
        <v>2</v>
      </c>
      <c r="I810" s="29">
        <v>521.6</v>
      </c>
      <c r="J810" s="29">
        <v>471.6</v>
      </c>
      <c r="K810" s="29">
        <v>471.6</v>
      </c>
      <c r="L810" s="30">
        <v>19</v>
      </c>
      <c r="M810" s="31">
        <f t="shared" si="197"/>
        <v>1181954.2200000002</v>
      </c>
      <c r="N810" s="29">
        <v>0</v>
      </c>
      <c r="O810" s="29">
        <v>0</v>
      </c>
      <c r="P810" s="29">
        <v>0</v>
      </c>
      <c r="Q810" s="29">
        <f>'Таблица 3 '!C800</f>
        <v>1181954.2200000002</v>
      </c>
      <c r="R810" s="29">
        <f t="shared" si="198"/>
        <v>1181954.2200000002</v>
      </c>
      <c r="S810" s="29">
        <v>0</v>
      </c>
      <c r="T810" s="29">
        <f t="shared" si="193"/>
        <v>2506.2642493638682</v>
      </c>
      <c r="U810" s="31">
        <f t="shared" si="194"/>
        <v>2506.2642493638682</v>
      </c>
      <c r="V810" s="33" t="s">
        <v>569</v>
      </c>
    </row>
    <row r="811" spans="1:23" s="44" customFormat="1" ht="42.75" customHeight="1" x14ac:dyDescent="0.25">
      <c r="A811" s="25">
        <v>10</v>
      </c>
      <c r="B811" s="26" t="s">
        <v>548</v>
      </c>
      <c r="C811" s="25" t="s">
        <v>43</v>
      </c>
      <c r="D811" s="27" t="s">
        <v>109</v>
      </c>
      <c r="E811" s="27" t="s">
        <v>39</v>
      </c>
      <c r="F811" s="25" t="s">
        <v>77</v>
      </c>
      <c r="G811" s="28">
        <v>3</v>
      </c>
      <c r="H811" s="28">
        <v>3</v>
      </c>
      <c r="I811" s="29">
        <v>1615.2</v>
      </c>
      <c r="J811" s="29">
        <v>1447.6</v>
      </c>
      <c r="K811" s="29">
        <v>1447.6</v>
      </c>
      <c r="L811" s="30">
        <v>54</v>
      </c>
      <c r="M811" s="31">
        <f t="shared" si="197"/>
        <v>2528747.7400000002</v>
      </c>
      <c r="N811" s="29">
        <v>0</v>
      </c>
      <c r="O811" s="29">
        <v>0</v>
      </c>
      <c r="P811" s="29">
        <v>0</v>
      </c>
      <c r="Q811" s="29">
        <f>'Таблица 3 '!C801</f>
        <v>2528747.7400000002</v>
      </c>
      <c r="R811" s="29">
        <f t="shared" si="198"/>
        <v>2528747.7400000002</v>
      </c>
      <c r="S811" s="29">
        <v>0</v>
      </c>
      <c r="T811" s="29">
        <f t="shared" si="193"/>
        <v>1746.8553053329651</v>
      </c>
      <c r="U811" s="31">
        <f t="shared" si="194"/>
        <v>1746.8553053329651</v>
      </c>
      <c r="V811" s="33" t="s">
        <v>569</v>
      </c>
    </row>
    <row r="812" spans="1:23" s="44" customFormat="1" ht="42.75" customHeight="1" x14ac:dyDescent="0.25">
      <c r="A812" s="25">
        <v>11</v>
      </c>
      <c r="B812" s="26" t="s">
        <v>746</v>
      </c>
      <c r="C812" s="25" t="s">
        <v>43</v>
      </c>
      <c r="D812" s="27" t="s">
        <v>195</v>
      </c>
      <c r="E812" s="27" t="s">
        <v>39</v>
      </c>
      <c r="F812" s="25" t="s">
        <v>514</v>
      </c>
      <c r="G812" s="28">
        <v>2</v>
      </c>
      <c r="H812" s="28">
        <v>1</v>
      </c>
      <c r="I812" s="29">
        <v>558.6</v>
      </c>
      <c r="J812" s="29">
        <v>514</v>
      </c>
      <c r="K812" s="29">
        <v>514</v>
      </c>
      <c r="L812" s="30">
        <v>13</v>
      </c>
      <c r="M812" s="31">
        <f t="shared" si="197"/>
        <v>1240462.46</v>
      </c>
      <c r="N812" s="29">
        <v>0</v>
      </c>
      <c r="O812" s="29">
        <v>0</v>
      </c>
      <c r="P812" s="29">
        <v>0</v>
      </c>
      <c r="Q812" s="29">
        <f>'Таблица 3 '!C802</f>
        <v>1240462.46</v>
      </c>
      <c r="R812" s="29">
        <f t="shared" si="198"/>
        <v>1240462.46</v>
      </c>
      <c r="S812" s="29">
        <v>0</v>
      </c>
      <c r="T812" s="29">
        <f t="shared" si="193"/>
        <v>2413.3510894941633</v>
      </c>
      <c r="U812" s="31">
        <f t="shared" si="194"/>
        <v>2413.3510894941633</v>
      </c>
      <c r="V812" s="33" t="s">
        <v>569</v>
      </c>
    </row>
    <row r="813" spans="1:23" s="44" customFormat="1" ht="42.75" customHeight="1" x14ac:dyDescent="0.25">
      <c r="A813" s="25">
        <v>12</v>
      </c>
      <c r="B813" s="26" t="s">
        <v>550</v>
      </c>
      <c r="C813" s="25" t="s">
        <v>43</v>
      </c>
      <c r="D813" s="27" t="s">
        <v>195</v>
      </c>
      <c r="E813" s="27" t="s">
        <v>39</v>
      </c>
      <c r="F813" s="25" t="s">
        <v>514</v>
      </c>
      <c r="G813" s="28">
        <v>2</v>
      </c>
      <c r="H813" s="28">
        <v>1</v>
      </c>
      <c r="I813" s="29">
        <v>560.6</v>
      </c>
      <c r="J813" s="29">
        <v>517.79999999999995</v>
      </c>
      <c r="K813" s="29">
        <v>441</v>
      </c>
      <c r="L813" s="30">
        <v>14</v>
      </c>
      <c r="M813" s="31">
        <f t="shared" si="197"/>
        <v>5031868.8499999996</v>
      </c>
      <c r="N813" s="29">
        <v>0</v>
      </c>
      <c r="O813" s="29">
        <v>0</v>
      </c>
      <c r="P813" s="29">
        <v>0</v>
      </c>
      <c r="Q813" s="29">
        <f>'Таблица 3 '!C803</f>
        <v>5031868.8499999996</v>
      </c>
      <c r="R813" s="29">
        <f t="shared" si="198"/>
        <v>5031868.8499999996</v>
      </c>
      <c r="S813" s="29">
        <v>0</v>
      </c>
      <c r="T813" s="29">
        <f t="shared" si="193"/>
        <v>9717.7845693317886</v>
      </c>
      <c r="U813" s="31">
        <f t="shared" si="194"/>
        <v>9717.7845693317886</v>
      </c>
      <c r="V813" s="33" t="s">
        <v>569</v>
      </c>
    </row>
    <row r="814" spans="1:23" s="44" customFormat="1" ht="42.75" customHeight="1" x14ac:dyDescent="0.25">
      <c r="A814" s="25">
        <v>13</v>
      </c>
      <c r="B814" s="26" t="s">
        <v>747</v>
      </c>
      <c r="C814" s="25" t="s">
        <v>43</v>
      </c>
      <c r="D814" s="27" t="s">
        <v>79</v>
      </c>
      <c r="E814" s="27" t="s">
        <v>39</v>
      </c>
      <c r="F814" s="25" t="s">
        <v>77</v>
      </c>
      <c r="G814" s="28" t="s">
        <v>414</v>
      </c>
      <c r="H814" s="28">
        <v>1</v>
      </c>
      <c r="I814" s="29">
        <v>1662.5</v>
      </c>
      <c r="J814" s="29">
        <v>1465.1</v>
      </c>
      <c r="K814" s="29">
        <v>1323.6</v>
      </c>
      <c r="L814" s="30">
        <v>50</v>
      </c>
      <c r="M814" s="31">
        <f t="shared" si="197"/>
        <v>8170439.4900000002</v>
      </c>
      <c r="N814" s="29">
        <v>0</v>
      </c>
      <c r="O814" s="29">
        <v>0</v>
      </c>
      <c r="P814" s="29">
        <v>0</v>
      </c>
      <c r="Q814" s="29">
        <f>'Таблица 3 '!C804</f>
        <v>8170439.4900000002</v>
      </c>
      <c r="R814" s="29">
        <f t="shared" si="198"/>
        <v>8170439.4900000002</v>
      </c>
      <c r="S814" s="29">
        <v>0</v>
      </c>
      <c r="T814" s="29">
        <f t="shared" si="193"/>
        <v>5576.7111391713879</v>
      </c>
      <c r="U814" s="31">
        <f t="shared" si="194"/>
        <v>5576.7111391713879</v>
      </c>
      <c r="V814" s="33" t="s">
        <v>569</v>
      </c>
    </row>
    <row r="815" spans="1:23" s="44" customFormat="1" ht="42.75" customHeight="1" x14ac:dyDescent="0.25">
      <c r="A815" s="25">
        <v>14</v>
      </c>
      <c r="B815" s="26" t="s">
        <v>748</v>
      </c>
      <c r="C815" s="25" t="s">
        <v>43</v>
      </c>
      <c r="D815" s="27" t="s">
        <v>205</v>
      </c>
      <c r="E815" s="27" t="s">
        <v>39</v>
      </c>
      <c r="F815" s="25" t="s">
        <v>77</v>
      </c>
      <c r="G815" s="28">
        <v>5</v>
      </c>
      <c r="H815" s="28">
        <v>4</v>
      </c>
      <c r="I815" s="29">
        <v>2950.7</v>
      </c>
      <c r="J815" s="29">
        <v>2777.5</v>
      </c>
      <c r="K815" s="29">
        <v>2697.5</v>
      </c>
      <c r="L815" s="30">
        <v>108</v>
      </c>
      <c r="M815" s="31">
        <f t="shared" si="197"/>
        <v>4699408.72</v>
      </c>
      <c r="N815" s="29">
        <v>0</v>
      </c>
      <c r="O815" s="29">
        <v>0</v>
      </c>
      <c r="P815" s="29">
        <v>0</v>
      </c>
      <c r="Q815" s="29">
        <f>'Таблица 3 '!C805</f>
        <v>4699408.72</v>
      </c>
      <c r="R815" s="29">
        <f t="shared" si="198"/>
        <v>4699408.72</v>
      </c>
      <c r="S815" s="29">
        <v>0</v>
      </c>
      <c r="T815" s="29">
        <f t="shared" si="193"/>
        <v>1691.9563348334832</v>
      </c>
      <c r="U815" s="31">
        <f t="shared" si="194"/>
        <v>1691.9563348334832</v>
      </c>
      <c r="V815" s="33" t="s">
        <v>569</v>
      </c>
    </row>
    <row r="816" spans="1:23" s="44" customFormat="1" ht="42.75" customHeight="1" x14ac:dyDescent="0.25">
      <c r="A816" s="25">
        <v>15</v>
      </c>
      <c r="B816" s="26" t="s">
        <v>554</v>
      </c>
      <c r="C816" s="25" t="s">
        <v>43</v>
      </c>
      <c r="D816" s="27" t="s">
        <v>79</v>
      </c>
      <c r="E816" s="27" t="s">
        <v>39</v>
      </c>
      <c r="F816" s="25" t="s">
        <v>77</v>
      </c>
      <c r="G816" s="28" t="s">
        <v>420</v>
      </c>
      <c r="H816" s="28" t="s">
        <v>420</v>
      </c>
      <c r="I816" s="29">
        <v>671.6</v>
      </c>
      <c r="J816" s="29">
        <v>621.71</v>
      </c>
      <c r="K816" s="29">
        <v>621.71</v>
      </c>
      <c r="L816" s="30">
        <v>33</v>
      </c>
      <c r="M816" s="31">
        <f t="shared" si="197"/>
        <v>2907278.39</v>
      </c>
      <c r="N816" s="29">
        <v>0</v>
      </c>
      <c r="O816" s="29">
        <v>0</v>
      </c>
      <c r="P816" s="29">
        <v>0</v>
      </c>
      <c r="Q816" s="29">
        <f>'Таблица 3 '!C806</f>
        <v>2907278.39</v>
      </c>
      <c r="R816" s="29">
        <f t="shared" si="198"/>
        <v>2907278.39</v>
      </c>
      <c r="S816" s="29">
        <v>0</v>
      </c>
      <c r="T816" s="29">
        <f t="shared" si="193"/>
        <v>4676.2612632899582</v>
      </c>
      <c r="U816" s="31">
        <f t="shared" si="194"/>
        <v>4676.2612632899582</v>
      </c>
      <c r="V816" s="33" t="s">
        <v>569</v>
      </c>
    </row>
    <row r="817" spans="1:96" s="44" customFormat="1" ht="42.75" customHeight="1" x14ac:dyDescent="0.25">
      <c r="A817" s="25">
        <v>16</v>
      </c>
      <c r="B817" s="26" t="s">
        <v>555</v>
      </c>
      <c r="C817" s="25" t="s">
        <v>43</v>
      </c>
      <c r="D817" s="27" t="s">
        <v>93</v>
      </c>
      <c r="E817" s="27" t="s">
        <v>39</v>
      </c>
      <c r="F817" s="25" t="s">
        <v>77</v>
      </c>
      <c r="G817" s="28" t="s">
        <v>420</v>
      </c>
      <c r="H817" s="28" t="s">
        <v>420</v>
      </c>
      <c r="I817" s="29">
        <v>670.8</v>
      </c>
      <c r="J817" s="29">
        <v>620.89</v>
      </c>
      <c r="K817" s="29">
        <v>513.09</v>
      </c>
      <c r="L817" s="30">
        <v>24</v>
      </c>
      <c r="M817" s="31">
        <f t="shared" si="197"/>
        <v>2930770.81</v>
      </c>
      <c r="N817" s="29">
        <v>0</v>
      </c>
      <c r="O817" s="29">
        <v>0</v>
      </c>
      <c r="P817" s="29">
        <v>0</v>
      </c>
      <c r="Q817" s="29">
        <f>'Таблица 3 '!C807</f>
        <v>2930770.81</v>
      </c>
      <c r="R817" s="29">
        <f t="shared" si="198"/>
        <v>2930770.81</v>
      </c>
      <c r="S817" s="29">
        <v>0</v>
      </c>
      <c r="T817" s="29">
        <f t="shared" si="193"/>
        <v>4720.2738166180807</v>
      </c>
      <c r="U817" s="31">
        <f t="shared" si="194"/>
        <v>4720.2738166180807</v>
      </c>
      <c r="V817" s="33" t="s">
        <v>569</v>
      </c>
    </row>
    <row r="818" spans="1:96" s="44" customFormat="1" ht="42.75" customHeight="1" x14ac:dyDescent="0.25">
      <c r="A818" s="25">
        <v>17</v>
      </c>
      <c r="B818" s="26" t="s">
        <v>556</v>
      </c>
      <c r="C818" s="25" t="s">
        <v>43</v>
      </c>
      <c r="D818" s="27" t="s">
        <v>135</v>
      </c>
      <c r="E818" s="27" t="s">
        <v>557</v>
      </c>
      <c r="F818" s="25" t="s">
        <v>77</v>
      </c>
      <c r="G818" s="28" t="s">
        <v>420</v>
      </c>
      <c r="H818" s="28" t="s">
        <v>420</v>
      </c>
      <c r="I818" s="29">
        <v>750.1</v>
      </c>
      <c r="J818" s="29">
        <v>719.7</v>
      </c>
      <c r="K818" s="29">
        <v>240.3</v>
      </c>
      <c r="L818" s="30">
        <v>29</v>
      </c>
      <c r="M818" s="31">
        <f t="shared" si="197"/>
        <v>1392928.93</v>
      </c>
      <c r="N818" s="29">
        <v>0</v>
      </c>
      <c r="O818" s="29">
        <v>0</v>
      </c>
      <c r="P818" s="29">
        <v>0</v>
      </c>
      <c r="Q818" s="29">
        <f>'Таблица 3 '!C808</f>
        <v>1392928.93</v>
      </c>
      <c r="R818" s="29">
        <f t="shared" si="198"/>
        <v>1392928.93</v>
      </c>
      <c r="S818" s="29">
        <v>0</v>
      </c>
      <c r="T818" s="32">
        <f t="shared" si="193"/>
        <v>1935.4299430318185</v>
      </c>
      <c r="U818" s="83">
        <f t="shared" si="194"/>
        <v>1935.4299430318185</v>
      </c>
      <c r="V818" s="33" t="s">
        <v>569</v>
      </c>
    </row>
    <row r="819" spans="1:96" s="44" customFormat="1" ht="42.75" customHeight="1" x14ac:dyDescent="0.25">
      <c r="A819" s="25">
        <v>18</v>
      </c>
      <c r="B819" s="100" t="s">
        <v>559</v>
      </c>
      <c r="C819" s="25" t="s">
        <v>43</v>
      </c>
      <c r="D819" s="27" t="s">
        <v>266</v>
      </c>
      <c r="E819" s="27" t="s">
        <v>39</v>
      </c>
      <c r="F819" s="25" t="s">
        <v>77</v>
      </c>
      <c r="G819" s="28">
        <v>2</v>
      </c>
      <c r="H819" s="28">
        <v>1</v>
      </c>
      <c r="I819" s="29">
        <v>379.66</v>
      </c>
      <c r="J819" s="29">
        <v>363.3</v>
      </c>
      <c r="K819" s="29">
        <v>363.3</v>
      </c>
      <c r="L819" s="30">
        <v>10</v>
      </c>
      <c r="M819" s="31">
        <f t="shared" si="197"/>
        <v>1032509.81</v>
      </c>
      <c r="N819" s="29">
        <v>0</v>
      </c>
      <c r="O819" s="29">
        <v>0</v>
      </c>
      <c r="P819" s="29">
        <v>0</v>
      </c>
      <c r="Q819" s="29">
        <f>'Таблица 3 '!C809</f>
        <v>1032509.81</v>
      </c>
      <c r="R819" s="29">
        <f t="shared" si="198"/>
        <v>1032509.81</v>
      </c>
      <c r="S819" s="29">
        <v>0</v>
      </c>
      <c r="T819" s="29">
        <f t="shared" si="193"/>
        <v>2842.0308560418389</v>
      </c>
      <c r="U819" s="29">
        <f t="shared" si="194"/>
        <v>2842.0308560418389</v>
      </c>
      <c r="V819" s="33" t="s">
        <v>569</v>
      </c>
      <c r="W819" s="23"/>
      <c r="X819" s="23"/>
      <c r="Y819" s="23"/>
      <c r="Z819" s="23"/>
      <c r="AA819" s="23"/>
      <c r="AB819" s="23"/>
      <c r="AC819" s="23"/>
      <c r="AD819" s="23"/>
      <c r="AE819" s="23"/>
      <c r="AF819" s="23"/>
      <c r="AG819" s="23"/>
      <c r="AH819" s="23"/>
      <c r="AI819" s="23"/>
      <c r="AJ819" s="23"/>
      <c r="AK819" s="23"/>
      <c r="AL819" s="23"/>
      <c r="AM819" s="23"/>
      <c r="AN819" s="23"/>
      <c r="AO819" s="23"/>
      <c r="AP819" s="23"/>
      <c r="AQ819" s="23"/>
      <c r="AR819" s="23"/>
      <c r="AS819" s="23"/>
      <c r="AT819" s="23"/>
      <c r="AU819" s="23"/>
      <c r="AV819" s="23"/>
      <c r="AW819" s="23"/>
      <c r="AX819" s="23"/>
      <c r="AY819" s="23"/>
      <c r="AZ819" s="23"/>
      <c r="BA819" s="23"/>
      <c r="BB819" s="23"/>
      <c r="BC819" s="23"/>
      <c r="BD819" s="23"/>
      <c r="BE819" s="23"/>
      <c r="BF819" s="23"/>
      <c r="BG819" s="23"/>
      <c r="BH819" s="23"/>
      <c r="BI819" s="23"/>
      <c r="BJ819" s="23"/>
      <c r="BK819" s="23"/>
      <c r="BL819" s="23"/>
      <c r="BM819" s="23"/>
      <c r="BN819" s="23"/>
      <c r="BO819" s="23"/>
      <c r="BP819" s="23"/>
      <c r="BQ819" s="23"/>
      <c r="BR819" s="23"/>
      <c r="BS819" s="23"/>
      <c r="BT819" s="23"/>
      <c r="BU819" s="23"/>
      <c r="BV819" s="23"/>
      <c r="BW819" s="23"/>
      <c r="BX819" s="23"/>
      <c r="BY819" s="23"/>
      <c r="BZ819" s="23"/>
      <c r="CA819" s="23"/>
      <c r="CB819" s="23"/>
      <c r="CC819" s="23"/>
      <c r="CD819" s="23"/>
      <c r="CE819" s="23"/>
      <c r="CF819" s="23"/>
      <c r="CG819" s="23"/>
      <c r="CH819" s="23"/>
      <c r="CI819" s="23"/>
      <c r="CJ819" s="23"/>
      <c r="CK819" s="23"/>
      <c r="CL819" s="23"/>
      <c r="CM819" s="23"/>
      <c r="CN819" s="23"/>
      <c r="CO819" s="23"/>
      <c r="CP819" s="23"/>
      <c r="CQ819" s="23"/>
      <c r="CR819" s="23"/>
    </row>
    <row r="820" spans="1:96" s="44" customFormat="1" ht="42.75" customHeight="1" x14ac:dyDescent="0.25">
      <c r="A820" s="25">
        <v>19</v>
      </c>
      <c r="B820" s="100" t="s">
        <v>561</v>
      </c>
      <c r="C820" s="25" t="s">
        <v>43</v>
      </c>
      <c r="D820" s="27" t="s">
        <v>562</v>
      </c>
      <c r="E820" s="27" t="s">
        <v>39</v>
      </c>
      <c r="F820" s="25" t="s">
        <v>563</v>
      </c>
      <c r="G820" s="28">
        <v>2</v>
      </c>
      <c r="H820" s="28">
        <v>3</v>
      </c>
      <c r="I820" s="29">
        <v>423</v>
      </c>
      <c r="J820" s="29">
        <v>341.1</v>
      </c>
      <c r="K820" s="29">
        <v>341.1</v>
      </c>
      <c r="L820" s="30">
        <v>20</v>
      </c>
      <c r="M820" s="31">
        <f t="shared" si="197"/>
        <v>3139776.6500000004</v>
      </c>
      <c r="N820" s="29">
        <v>0</v>
      </c>
      <c r="O820" s="29">
        <v>0</v>
      </c>
      <c r="P820" s="29">
        <v>0</v>
      </c>
      <c r="Q820" s="29">
        <f>'Таблица 3 '!C810</f>
        <v>3139776.6500000004</v>
      </c>
      <c r="R820" s="29">
        <f t="shared" si="198"/>
        <v>3139776.6500000004</v>
      </c>
      <c r="S820" s="29">
        <v>0</v>
      </c>
      <c r="T820" s="29">
        <f t="shared" si="193"/>
        <v>9204.856786866023</v>
      </c>
      <c r="U820" s="29">
        <f t="shared" si="194"/>
        <v>9204.856786866023</v>
      </c>
      <c r="V820" s="33" t="s">
        <v>569</v>
      </c>
      <c r="W820" s="23"/>
      <c r="X820" s="23"/>
      <c r="Y820" s="23"/>
      <c r="Z820" s="23"/>
      <c r="AA820" s="23"/>
      <c r="AB820" s="23"/>
      <c r="AC820" s="23"/>
      <c r="AD820" s="23"/>
      <c r="AE820" s="23"/>
      <c r="AF820" s="23"/>
      <c r="AG820" s="23"/>
      <c r="AH820" s="23"/>
      <c r="AI820" s="23"/>
      <c r="AJ820" s="23"/>
      <c r="AK820" s="23"/>
      <c r="AL820" s="23"/>
      <c r="AM820" s="23"/>
      <c r="AN820" s="23"/>
      <c r="AO820" s="23"/>
      <c r="AP820" s="23"/>
      <c r="AQ820" s="23"/>
      <c r="AR820" s="23"/>
      <c r="AS820" s="23"/>
      <c r="AT820" s="23"/>
      <c r="AU820" s="23"/>
      <c r="AV820" s="23"/>
      <c r="AW820" s="23"/>
      <c r="AX820" s="23"/>
      <c r="AY820" s="23"/>
      <c r="AZ820" s="23"/>
      <c r="BA820" s="23"/>
      <c r="BB820" s="23"/>
      <c r="BC820" s="23"/>
      <c r="BD820" s="23"/>
      <c r="BE820" s="23"/>
      <c r="BF820" s="23"/>
      <c r="BG820" s="23"/>
      <c r="BH820" s="23"/>
      <c r="BI820" s="23"/>
      <c r="BJ820" s="23"/>
      <c r="BK820" s="23"/>
      <c r="BL820" s="23"/>
      <c r="BM820" s="23"/>
      <c r="BN820" s="23"/>
      <c r="BO820" s="23"/>
      <c r="BP820" s="23"/>
      <c r="BQ820" s="23"/>
      <c r="BR820" s="23"/>
      <c r="BS820" s="23"/>
      <c r="BT820" s="23"/>
      <c r="BU820" s="23"/>
      <c r="BV820" s="23"/>
      <c r="BW820" s="23"/>
      <c r="BX820" s="23"/>
      <c r="BY820" s="23"/>
      <c r="BZ820" s="23"/>
      <c r="CA820" s="23"/>
      <c r="CB820" s="23"/>
      <c r="CC820" s="23"/>
      <c r="CD820" s="23"/>
      <c r="CE820" s="23"/>
      <c r="CF820" s="23"/>
      <c r="CG820" s="23"/>
      <c r="CH820" s="23"/>
      <c r="CI820" s="23"/>
      <c r="CJ820" s="23"/>
      <c r="CK820" s="23"/>
      <c r="CL820" s="23"/>
      <c r="CM820" s="23"/>
      <c r="CN820" s="23"/>
      <c r="CO820" s="23"/>
      <c r="CP820" s="23"/>
      <c r="CQ820" s="23"/>
      <c r="CR820" s="23"/>
    </row>
    <row r="821" spans="1:96" s="44" customFormat="1" ht="42.75" customHeight="1" x14ac:dyDescent="0.25">
      <c r="A821" s="25">
        <v>20</v>
      </c>
      <c r="B821" s="100" t="s">
        <v>749</v>
      </c>
      <c r="C821" s="25" t="s">
        <v>43</v>
      </c>
      <c r="D821" s="27" t="s">
        <v>750</v>
      </c>
      <c r="E821" s="27" t="s">
        <v>39</v>
      </c>
      <c r="F821" s="25" t="s">
        <v>563</v>
      </c>
      <c r="G821" s="28">
        <v>2</v>
      </c>
      <c r="H821" s="28">
        <v>2</v>
      </c>
      <c r="I821" s="29">
        <v>316</v>
      </c>
      <c r="J821" s="29">
        <v>295</v>
      </c>
      <c r="K821" s="29">
        <v>259.8</v>
      </c>
      <c r="L821" s="30">
        <v>16</v>
      </c>
      <c r="M821" s="31">
        <f t="shared" si="197"/>
        <v>2981026.76</v>
      </c>
      <c r="N821" s="29">
        <v>0</v>
      </c>
      <c r="O821" s="29">
        <v>0</v>
      </c>
      <c r="P821" s="29">
        <v>0</v>
      </c>
      <c r="Q821" s="29">
        <f>'Таблица 3 '!C811</f>
        <v>2981026.76</v>
      </c>
      <c r="R821" s="29">
        <f t="shared" si="198"/>
        <v>2981026.76</v>
      </c>
      <c r="S821" s="29">
        <v>0</v>
      </c>
      <c r="T821" s="29">
        <f t="shared" si="193"/>
        <v>10105.175457627118</v>
      </c>
      <c r="U821" s="29">
        <f t="shared" si="194"/>
        <v>10105.175457627118</v>
      </c>
      <c r="V821" s="33" t="s">
        <v>569</v>
      </c>
      <c r="W821" s="23"/>
      <c r="X821" s="23"/>
      <c r="Y821" s="23"/>
      <c r="Z821" s="23"/>
      <c r="AA821" s="23"/>
      <c r="AB821" s="23"/>
      <c r="AC821" s="23"/>
      <c r="AD821" s="23"/>
      <c r="AE821" s="23"/>
      <c r="AF821" s="23"/>
      <c r="AG821" s="23"/>
      <c r="AH821" s="23"/>
      <c r="AI821" s="23"/>
      <c r="AJ821" s="23"/>
      <c r="AK821" s="23"/>
      <c r="AL821" s="23"/>
      <c r="AM821" s="23"/>
      <c r="AN821" s="23"/>
      <c r="AO821" s="23"/>
      <c r="AP821" s="23"/>
      <c r="AQ821" s="23"/>
      <c r="AR821" s="23"/>
      <c r="AS821" s="23"/>
      <c r="AT821" s="23"/>
      <c r="AU821" s="23"/>
      <c r="AV821" s="23"/>
      <c r="AW821" s="23"/>
      <c r="AX821" s="23"/>
      <c r="AY821" s="23"/>
      <c r="AZ821" s="23"/>
      <c r="BA821" s="23"/>
      <c r="BB821" s="23"/>
      <c r="BC821" s="23"/>
      <c r="BD821" s="23"/>
      <c r="BE821" s="23"/>
      <c r="BF821" s="23"/>
      <c r="BG821" s="23"/>
      <c r="BH821" s="23"/>
      <c r="BI821" s="23"/>
      <c r="BJ821" s="23"/>
      <c r="BK821" s="23"/>
      <c r="BL821" s="23"/>
      <c r="BM821" s="23"/>
      <c r="BN821" s="23"/>
      <c r="BO821" s="23"/>
      <c r="BP821" s="23"/>
      <c r="BQ821" s="23"/>
      <c r="BR821" s="23"/>
      <c r="BS821" s="23"/>
      <c r="BT821" s="23"/>
      <c r="BU821" s="23"/>
      <c r="BV821" s="23"/>
      <c r="BW821" s="23"/>
      <c r="BX821" s="23"/>
      <c r="BY821" s="23"/>
      <c r="BZ821" s="23"/>
      <c r="CA821" s="23"/>
      <c r="CB821" s="23"/>
      <c r="CC821" s="23"/>
      <c r="CD821" s="23"/>
      <c r="CE821" s="23"/>
      <c r="CF821" s="23"/>
      <c r="CG821" s="23"/>
      <c r="CH821" s="23"/>
      <c r="CI821" s="23"/>
      <c r="CJ821" s="23"/>
      <c r="CK821" s="23"/>
      <c r="CL821" s="23"/>
      <c r="CM821" s="23"/>
      <c r="CN821" s="23"/>
      <c r="CO821" s="23"/>
      <c r="CP821" s="23"/>
      <c r="CQ821" s="23"/>
      <c r="CR821" s="23"/>
    </row>
    <row r="822" spans="1:96" s="123" customFormat="1" ht="23.25" customHeight="1" x14ac:dyDescent="0.25">
      <c r="A822" s="124"/>
      <c r="B822" s="124" t="s">
        <v>751</v>
      </c>
      <c r="C822" s="124"/>
      <c r="D822" s="124"/>
      <c r="E822" s="125"/>
      <c r="F822" s="124"/>
      <c r="G822" s="126"/>
      <c r="H822" s="126"/>
      <c r="I822" s="127"/>
      <c r="J822" s="127"/>
      <c r="K822" s="127"/>
      <c r="L822" s="128"/>
      <c r="M822" s="127"/>
      <c r="N822" s="127"/>
      <c r="O822" s="127"/>
      <c r="P822" s="127"/>
      <c r="Q822" s="127"/>
      <c r="R822" s="127"/>
      <c r="S822" s="127"/>
      <c r="T822" s="129"/>
      <c r="U822" s="129"/>
      <c r="V822" s="130"/>
    </row>
    <row r="823" spans="1:96" s="23" customFormat="1" ht="23.25" customHeight="1" x14ac:dyDescent="0.2">
      <c r="A823" s="322" t="s">
        <v>752</v>
      </c>
      <c r="B823" s="322"/>
      <c r="C823" s="18" t="s">
        <v>40</v>
      </c>
      <c r="D823" s="18" t="s">
        <v>40</v>
      </c>
      <c r="E823" s="19" t="s">
        <v>40</v>
      </c>
      <c r="F823" s="18" t="s">
        <v>40</v>
      </c>
      <c r="G823" s="20" t="s">
        <v>40</v>
      </c>
      <c r="H823" s="20" t="s">
        <v>40</v>
      </c>
      <c r="I823" s="21">
        <f t="shared" ref="I823:S823" si="199">I824+I854+I856+I858+I875+I877+I886+I888+I894+I901+I906+I910+I913+I918+I922+I925+I931+I934+I949</f>
        <v>292457.14999999997</v>
      </c>
      <c r="J823" s="21">
        <f t="shared" si="199"/>
        <v>247244.24000000002</v>
      </c>
      <c r="K823" s="21">
        <f t="shared" si="199"/>
        <v>199915.40999999997</v>
      </c>
      <c r="L823" s="22">
        <f t="shared" si="199"/>
        <v>9049</v>
      </c>
      <c r="M823" s="21">
        <f t="shared" si="199"/>
        <v>833790019.1400001</v>
      </c>
      <c r="N823" s="21">
        <f t="shared" si="199"/>
        <v>0</v>
      </c>
      <c r="O823" s="21">
        <f t="shared" si="199"/>
        <v>0</v>
      </c>
      <c r="P823" s="21">
        <f t="shared" si="199"/>
        <v>0</v>
      </c>
      <c r="Q823" s="21">
        <f t="shared" si="199"/>
        <v>833790019.1400001</v>
      </c>
      <c r="R823" s="21">
        <f t="shared" si="199"/>
        <v>833790019.1400001</v>
      </c>
      <c r="S823" s="21">
        <f t="shared" si="199"/>
        <v>0</v>
      </c>
      <c r="T823" s="24" t="s">
        <v>40</v>
      </c>
      <c r="U823" s="24" t="s">
        <v>40</v>
      </c>
      <c r="V823" s="20" t="s">
        <v>40</v>
      </c>
    </row>
    <row r="824" spans="1:96" s="23" customFormat="1" ht="23.25" customHeight="1" x14ac:dyDescent="0.2">
      <c r="A824" s="322" t="s">
        <v>41</v>
      </c>
      <c r="B824" s="322"/>
      <c r="C824" s="18" t="s">
        <v>39</v>
      </c>
      <c r="D824" s="18" t="s">
        <v>40</v>
      </c>
      <c r="E824" s="19" t="s">
        <v>40</v>
      </c>
      <c r="F824" s="18" t="s">
        <v>40</v>
      </c>
      <c r="G824" s="20" t="s">
        <v>40</v>
      </c>
      <c r="H824" s="20" t="s">
        <v>40</v>
      </c>
      <c r="I824" s="21">
        <f t="shared" ref="I824:S824" si="200">SUM(I825:I853)</f>
        <v>110593.02999999998</v>
      </c>
      <c r="J824" s="21">
        <f t="shared" si="200"/>
        <v>95939.550000000017</v>
      </c>
      <c r="K824" s="21">
        <f t="shared" si="200"/>
        <v>86469.92</v>
      </c>
      <c r="L824" s="22">
        <f t="shared" si="200"/>
        <v>3615</v>
      </c>
      <c r="M824" s="21">
        <f t="shared" si="200"/>
        <v>280305800.20000005</v>
      </c>
      <c r="N824" s="21">
        <f t="shared" si="200"/>
        <v>0</v>
      </c>
      <c r="O824" s="21">
        <f t="shared" si="200"/>
        <v>0</v>
      </c>
      <c r="P824" s="21">
        <f t="shared" si="200"/>
        <v>0</v>
      </c>
      <c r="Q824" s="21">
        <f t="shared" si="200"/>
        <v>280305800.20000005</v>
      </c>
      <c r="R824" s="21">
        <f t="shared" si="200"/>
        <v>280305800.20000005</v>
      </c>
      <c r="S824" s="21">
        <f t="shared" si="200"/>
        <v>0</v>
      </c>
      <c r="T824" s="24" t="s">
        <v>40</v>
      </c>
      <c r="U824" s="24" t="s">
        <v>40</v>
      </c>
      <c r="V824" s="20" t="s">
        <v>40</v>
      </c>
    </row>
    <row r="825" spans="1:96" s="23" customFormat="1" ht="42" customHeight="1" x14ac:dyDescent="0.25">
      <c r="A825" s="25">
        <v>1</v>
      </c>
      <c r="B825" s="26" t="s">
        <v>66</v>
      </c>
      <c r="C825" s="25" t="s">
        <v>43</v>
      </c>
      <c r="D825" s="25">
        <v>1988</v>
      </c>
      <c r="E825" s="27" t="s">
        <v>47</v>
      </c>
      <c r="F825" s="25" t="s">
        <v>48</v>
      </c>
      <c r="G825" s="28">
        <v>5</v>
      </c>
      <c r="H825" s="28">
        <v>6</v>
      </c>
      <c r="I825" s="32">
        <v>4502.1000000000004</v>
      </c>
      <c r="J825" s="32">
        <v>4488.3</v>
      </c>
      <c r="K825" s="32">
        <v>4204.2</v>
      </c>
      <c r="L825" s="35">
        <v>220</v>
      </c>
      <c r="M825" s="32">
        <f t="shared" ref="M825:M853" si="201">SUM(N825:Q825)</f>
        <v>10658612.869999999</v>
      </c>
      <c r="N825" s="32">
        <v>0</v>
      </c>
      <c r="O825" s="32">
        <v>0</v>
      </c>
      <c r="P825" s="32">
        <v>0</v>
      </c>
      <c r="Q825" s="32">
        <f>'Таблица 3 '!C815</f>
        <v>10658612.869999999</v>
      </c>
      <c r="R825" s="32">
        <f t="shared" ref="R825:R853" si="202">Q825</f>
        <v>10658612.869999999</v>
      </c>
      <c r="S825" s="32">
        <v>0</v>
      </c>
      <c r="T825" s="29">
        <f t="shared" si="193"/>
        <v>2374.755000779805</v>
      </c>
      <c r="U825" s="29">
        <f t="shared" si="194"/>
        <v>2374.755000779805</v>
      </c>
      <c r="V825" s="33" t="s">
        <v>753</v>
      </c>
    </row>
    <row r="826" spans="1:96" s="23" customFormat="1" ht="42" customHeight="1" x14ac:dyDescent="0.25">
      <c r="A826" s="25">
        <v>2</v>
      </c>
      <c r="B826" s="26" t="s">
        <v>71</v>
      </c>
      <c r="C826" s="25" t="s">
        <v>43</v>
      </c>
      <c r="D826" s="27">
        <v>1996</v>
      </c>
      <c r="E826" s="27" t="s">
        <v>622</v>
      </c>
      <c r="F826" s="25" t="s">
        <v>48</v>
      </c>
      <c r="G826" s="28">
        <v>5</v>
      </c>
      <c r="H826" s="28">
        <v>2</v>
      </c>
      <c r="I826" s="29">
        <v>3235.8</v>
      </c>
      <c r="J826" s="29">
        <v>2361.9</v>
      </c>
      <c r="K826" s="29">
        <v>2031</v>
      </c>
      <c r="L826" s="30">
        <v>89</v>
      </c>
      <c r="M826" s="32">
        <f t="shared" si="201"/>
        <v>5608933.8300000001</v>
      </c>
      <c r="N826" s="32">
        <v>0</v>
      </c>
      <c r="O826" s="32">
        <v>0</v>
      </c>
      <c r="P826" s="32">
        <v>0</v>
      </c>
      <c r="Q826" s="32">
        <f>'Таблица 3 '!C816</f>
        <v>5608933.8300000001</v>
      </c>
      <c r="R826" s="32">
        <f t="shared" si="202"/>
        <v>5608933.8300000001</v>
      </c>
      <c r="S826" s="29">
        <v>0</v>
      </c>
      <c r="T826" s="29">
        <f t="shared" si="193"/>
        <v>2374.7549980947542</v>
      </c>
      <c r="U826" s="29">
        <f t="shared" si="194"/>
        <v>2374.7549980947542</v>
      </c>
      <c r="V826" s="33" t="s">
        <v>753</v>
      </c>
    </row>
    <row r="827" spans="1:96" s="23" customFormat="1" ht="42" customHeight="1" x14ac:dyDescent="0.25">
      <c r="A827" s="25">
        <v>3</v>
      </c>
      <c r="B827" s="26" t="s">
        <v>576</v>
      </c>
      <c r="C827" s="25" t="s">
        <v>43</v>
      </c>
      <c r="D827" s="25">
        <v>1988</v>
      </c>
      <c r="E827" s="27" t="s">
        <v>60</v>
      </c>
      <c r="F827" s="25" t="s">
        <v>48</v>
      </c>
      <c r="G827" s="28">
        <v>9</v>
      </c>
      <c r="H827" s="28">
        <v>12</v>
      </c>
      <c r="I827" s="32">
        <v>21879.4</v>
      </c>
      <c r="J827" s="32">
        <v>21878.9</v>
      </c>
      <c r="K827" s="32">
        <v>20855.8</v>
      </c>
      <c r="L827" s="35">
        <v>855</v>
      </c>
      <c r="M827" s="32">
        <f t="shared" si="201"/>
        <v>63242316.950000003</v>
      </c>
      <c r="N827" s="32">
        <v>0</v>
      </c>
      <c r="O827" s="32">
        <v>0</v>
      </c>
      <c r="P827" s="32">
        <v>0</v>
      </c>
      <c r="Q827" s="32">
        <f>'Таблица 3 '!C817</f>
        <v>63242316.950000003</v>
      </c>
      <c r="R827" s="32">
        <f t="shared" si="202"/>
        <v>63242316.950000003</v>
      </c>
      <c r="S827" s="32">
        <v>0</v>
      </c>
      <c r="T827" s="29">
        <f t="shared" si="193"/>
        <v>2890.5620003747904</v>
      </c>
      <c r="U827" s="29">
        <f t="shared" si="194"/>
        <v>2890.5620003747904</v>
      </c>
      <c r="V827" s="33" t="s">
        <v>753</v>
      </c>
    </row>
    <row r="828" spans="1:96" s="23" customFormat="1" ht="42" customHeight="1" x14ac:dyDescent="0.25">
      <c r="A828" s="25">
        <v>4</v>
      </c>
      <c r="B828" s="26" t="s">
        <v>92</v>
      </c>
      <c r="C828" s="25" t="s">
        <v>43</v>
      </c>
      <c r="D828" s="25">
        <v>1963</v>
      </c>
      <c r="E828" s="27" t="s">
        <v>39</v>
      </c>
      <c r="F828" s="25" t="s">
        <v>44</v>
      </c>
      <c r="G828" s="28">
        <v>2</v>
      </c>
      <c r="H828" s="28">
        <v>1</v>
      </c>
      <c r="I828" s="29">
        <v>322.3</v>
      </c>
      <c r="J828" s="29">
        <v>322.3</v>
      </c>
      <c r="K828" s="29">
        <v>213.5</v>
      </c>
      <c r="L828" s="30">
        <v>16</v>
      </c>
      <c r="M828" s="32">
        <f t="shared" si="201"/>
        <v>571815.57000000007</v>
      </c>
      <c r="N828" s="32">
        <v>0</v>
      </c>
      <c r="O828" s="32">
        <v>0</v>
      </c>
      <c r="P828" s="32">
        <v>0</v>
      </c>
      <c r="Q828" s="32">
        <f>'Таблица 3 '!C818</f>
        <v>571815.57000000007</v>
      </c>
      <c r="R828" s="32">
        <f t="shared" si="202"/>
        <v>571815.57000000007</v>
      </c>
      <c r="S828" s="29">
        <v>0</v>
      </c>
      <c r="T828" s="29">
        <f t="shared" si="193"/>
        <v>1774.1717964629229</v>
      </c>
      <c r="U828" s="29">
        <f t="shared" si="194"/>
        <v>1774.1717964629229</v>
      </c>
      <c r="V828" s="33" t="s">
        <v>753</v>
      </c>
    </row>
    <row r="829" spans="1:96" s="23" customFormat="1" ht="42" customHeight="1" x14ac:dyDescent="0.25">
      <c r="A829" s="25">
        <v>5</v>
      </c>
      <c r="B829" s="26" t="s">
        <v>120</v>
      </c>
      <c r="C829" s="25" t="s">
        <v>43</v>
      </c>
      <c r="D829" s="25">
        <v>1975</v>
      </c>
      <c r="E829" s="27" t="s">
        <v>57</v>
      </c>
      <c r="F829" s="25" t="s">
        <v>77</v>
      </c>
      <c r="G829" s="28">
        <v>5</v>
      </c>
      <c r="H829" s="28">
        <v>3</v>
      </c>
      <c r="I829" s="32">
        <v>2805.1</v>
      </c>
      <c r="J829" s="32">
        <v>3154.6</v>
      </c>
      <c r="K829" s="32">
        <v>2713.5</v>
      </c>
      <c r="L829" s="35">
        <v>72</v>
      </c>
      <c r="M829" s="32">
        <f t="shared" si="201"/>
        <v>6591735.9000000004</v>
      </c>
      <c r="N829" s="32">
        <v>0</v>
      </c>
      <c r="O829" s="32">
        <v>0</v>
      </c>
      <c r="P829" s="32">
        <v>0</v>
      </c>
      <c r="Q829" s="32">
        <f>'Таблица 3 '!C819</f>
        <v>6591735.9000000004</v>
      </c>
      <c r="R829" s="32">
        <f t="shared" si="202"/>
        <v>6591735.9000000004</v>
      </c>
      <c r="S829" s="32">
        <v>0</v>
      </c>
      <c r="T829" s="29">
        <f t="shared" si="193"/>
        <v>2089.563145882204</v>
      </c>
      <c r="U829" s="29">
        <f t="shared" si="194"/>
        <v>2089.563145882204</v>
      </c>
      <c r="V829" s="33" t="s">
        <v>753</v>
      </c>
    </row>
    <row r="830" spans="1:96" s="23" customFormat="1" ht="42" customHeight="1" x14ac:dyDescent="0.25">
      <c r="A830" s="25">
        <v>6</v>
      </c>
      <c r="B830" s="26" t="s">
        <v>125</v>
      </c>
      <c r="C830" s="25" t="s">
        <v>43</v>
      </c>
      <c r="D830" s="27" t="s">
        <v>126</v>
      </c>
      <c r="E830" s="27" t="s">
        <v>39</v>
      </c>
      <c r="F830" s="25" t="s">
        <v>44</v>
      </c>
      <c r="G830" s="28">
        <v>4</v>
      </c>
      <c r="H830" s="28">
        <v>1</v>
      </c>
      <c r="I830" s="29">
        <v>869.9</v>
      </c>
      <c r="J830" s="29">
        <v>847.1</v>
      </c>
      <c r="K830" s="29">
        <v>642.70000000000005</v>
      </c>
      <c r="L830" s="30">
        <v>52</v>
      </c>
      <c r="M830" s="32">
        <f t="shared" si="201"/>
        <v>574714.92000000004</v>
      </c>
      <c r="N830" s="32">
        <v>0</v>
      </c>
      <c r="O830" s="32">
        <v>0</v>
      </c>
      <c r="P830" s="32">
        <v>0</v>
      </c>
      <c r="Q830" s="32">
        <f>'Таблица 3 '!C820</f>
        <v>574714.92000000004</v>
      </c>
      <c r="R830" s="32">
        <f t="shared" si="202"/>
        <v>574714.92000000004</v>
      </c>
      <c r="S830" s="29">
        <v>0</v>
      </c>
      <c r="T830" s="29">
        <f t="shared" si="193"/>
        <v>678.44991146263726</v>
      </c>
      <c r="U830" s="29">
        <f t="shared" si="194"/>
        <v>678.44991146263726</v>
      </c>
      <c r="V830" s="33" t="s">
        <v>753</v>
      </c>
    </row>
    <row r="831" spans="1:96" s="23" customFormat="1" ht="42" customHeight="1" x14ac:dyDescent="0.25">
      <c r="A831" s="25">
        <v>7</v>
      </c>
      <c r="B831" s="26" t="s">
        <v>139</v>
      </c>
      <c r="C831" s="25" t="s">
        <v>43</v>
      </c>
      <c r="D831" s="25">
        <v>1962</v>
      </c>
      <c r="E831" s="27" t="s">
        <v>140</v>
      </c>
      <c r="F831" s="25" t="s">
        <v>77</v>
      </c>
      <c r="G831" s="28">
        <v>3</v>
      </c>
      <c r="H831" s="28">
        <v>2</v>
      </c>
      <c r="I831" s="32">
        <v>1265.4000000000001</v>
      </c>
      <c r="J831" s="32">
        <v>1266.2</v>
      </c>
      <c r="K831" s="32">
        <v>1266.4000000000001</v>
      </c>
      <c r="L831" s="35">
        <v>47</v>
      </c>
      <c r="M831" s="32">
        <f t="shared" si="201"/>
        <v>8555482.6699999999</v>
      </c>
      <c r="N831" s="32">
        <v>0</v>
      </c>
      <c r="O831" s="32">
        <v>0</v>
      </c>
      <c r="P831" s="32">
        <v>0</v>
      </c>
      <c r="Q831" s="32">
        <f>'Таблица 3 '!C821</f>
        <v>8555482.6699999999</v>
      </c>
      <c r="R831" s="32">
        <f t="shared" si="202"/>
        <v>8555482.6699999999</v>
      </c>
      <c r="S831" s="32">
        <v>0</v>
      </c>
      <c r="T831" s="29">
        <f t="shared" si="193"/>
        <v>6756.817777602274</v>
      </c>
      <c r="U831" s="29">
        <f t="shared" si="194"/>
        <v>6756.817777602274</v>
      </c>
      <c r="V831" s="33" t="s">
        <v>753</v>
      </c>
    </row>
    <row r="832" spans="1:96" s="23" customFormat="1" ht="42" customHeight="1" x14ac:dyDescent="0.25">
      <c r="A832" s="25">
        <v>8</v>
      </c>
      <c r="B832" s="26" t="s">
        <v>142</v>
      </c>
      <c r="C832" s="25" t="s">
        <v>43</v>
      </c>
      <c r="D832" s="25">
        <v>1991</v>
      </c>
      <c r="E832" s="27" t="s">
        <v>57</v>
      </c>
      <c r="F832" s="25" t="s">
        <v>77</v>
      </c>
      <c r="G832" s="28">
        <v>5</v>
      </c>
      <c r="H832" s="28">
        <v>4</v>
      </c>
      <c r="I832" s="32">
        <v>2884.6</v>
      </c>
      <c r="J832" s="32">
        <v>2831</v>
      </c>
      <c r="K832" s="32">
        <v>2831</v>
      </c>
      <c r="L832" s="35">
        <v>113</v>
      </c>
      <c r="M832" s="32">
        <f t="shared" si="201"/>
        <v>2275676.14</v>
      </c>
      <c r="N832" s="32">
        <v>0</v>
      </c>
      <c r="O832" s="32">
        <v>0</v>
      </c>
      <c r="P832" s="32">
        <v>0</v>
      </c>
      <c r="Q832" s="32">
        <f>'Таблица 3 '!C822</f>
        <v>2275676.14</v>
      </c>
      <c r="R832" s="32">
        <f t="shared" si="202"/>
        <v>2275676.14</v>
      </c>
      <c r="S832" s="29">
        <v>0</v>
      </c>
      <c r="T832" s="29">
        <f t="shared" si="193"/>
        <v>803.84180148357473</v>
      </c>
      <c r="U832" s="29">
        <f t="shared" si="194"/>
        <v>803.84180148357473</v>
      </c>
      <c r="V832" s="33" t="s">
        <v>753</v>
      </c>
    </row>
    <row r="833" spans="1:23" s="23" customFormat="1" ht="42" customHeight="1" x14ac:dyDescent="0.25">
      <c r="A833" s="25">
        <v>9</v>
      </c>
      <c r="B833" s="39" t="s">
        <v>159</v>
      </c>
      <c r="C833" s="25" t="s">
        <v>43</v>
      </c>
      <c r="D833" s="25">
        <v>1948</v>
      </c>
      <c r="E833" s="27" t="s">
        <v>160</v>
      </c>
      <c r="F833" s="25" t="s">
        <v>77</v>
      </c>
      <c r="G833" s="28">
        <v>2</v>
      </c>
      <c r="H833" s="28">
        <v>2</v>
      </c>
      <c r="I833" s="32">
        <v>893.5</v>
      </c>
      <c r="J833" s="32">
        <v>778.8</v>
      </c>
      <c r="K833" s="32">
        <v>546.29999999999995</v>
      </c>
      <c r="L833" s="35">
        <v>23</v>
      </c>
      <c r="M833" s="32">
        <f t="shared" si="201"/>
        <v>2016304.44</v>
      </c>
      <c r="N833" s="32">
        <v>0</v>
      </c>
      <c r="O833" s="32">
        <v>0</v>
      </c>
      <c r="P833" s="32">
        <v>0</v>
      </c>
      <c r="Q833" s="32">
        <f>'Таблица 3 '!C823</f>
        <v>2016304.44</v>
      </c>
      <c r="R833" s="32">
        <f t="shared" si="202"/>
        <v>2016304.44</v>
      </c>
      <c r="S833" s="32">
        <v>0</v>
      </c>
      <c r="T833" s="29">
        <f t="shared" si="193"/>
        <v>2588.9887519260401</v>
      </c>
      <c r="U833" s="29">
        <f t="shared" si="194"/>
        <v>2588.9887519260401</v>
      </c>
      <c r="V833" s="33" t="s">
        <v>753</v>
      </c>
    </row>
    <row r="834" spans="1:23" s="23" customFormat="1" ht="42" customHeight="1" x14ac:dyDescent="0.25">
      <c r="A834" s="25">
        <v>10</v>
      </c>
      <c r="B834" s="26" t="s">
        <v>171</v>
      </c>
      <c r="C834" s="25" t="s">
        <v>43</v>
      </c>
      <c r="D834" s="27" t="s">
        <v>168</v>
      </c>
      <c r="E834" s="27" t="s">
        <v>39</v>
      </c>
      <c r="F834" s="25" t="s">
        <v>48</v>
      </c>
      <c r="G834" s="28">
        <v>5</v>
      </c>
      <c r="H834" s="28">
        <v>6</v>
      </c>
      <c r="I834" s="29">
        <v>5866.4</v>
      </c>
      <c r="J834" s="29">
        <v>5742.8</v>
      </c>
      <c r="K834" s="29">
        <v>5694.1</v>
      </c>
      <c r="L834" s="30">
        <v>268</v>
      </c>
      <c r="M834" s="32">
        <f t="shared" si="201"/>
        <v>13637732.800000001</v>
      </c>
      <c r="N834" s="32">
        <v>0</v>
      </c>
      <c r="O834" s="32">
        <v>0</v>
      </c>
      <c r="P834" s="32">
        <v>0</v>
      </c>
      <c r="Q834" s="32">
        <f>'Таблица 3 '!C824</f>
        <v>13637732.800000001</v>
      </c>
      <c r="R834" s="32">
        <f t="shared" si="202"/>
        <v>13637732.800000001</v>
      </c>
      <c r="S834" s="29">
        <v>0</v>
      </c>
      <c r="T834" s="29">
        <f t="shared" si="193"/>
        <v>2374.7532214250887</v>
      </c>
      <c r="U834" s="29">
        <f t="shared" si="194"/>
        <v>2374.7532214250887</v>
      </c>
      <c r="V834" s="33" t="s">
        <v>753</v>
      </c>
    </row>
    <row r="835" spans="1:23" s="23" customFormat="1" ht="42" customHeight="1" x14ac:dyDescent="0.25">
      <c r="A835" s="25">
        <v>11</v>
      </c>
      <c r="B835" s="26" t="s">
        <v>754</v>
      </c>
      <c r="C835" s="25" t="s">
        <v>43</v>
      </c>
      <c r="D835" s="25">
        <v>1987</v>
      </c>
      <c r="E835" s="27" t="s">
        <v>39</v>
      </c>
      <c r="F835" s="25" t="s">
        <v>77</v>
      </c>
      <c r="G835" s="28">
        <v>5</v>
      </c>
      <c r="H835" s="28">
        <v>4</v>
      </c>
      <c r="I835" s="32">
        <v>2770.9</v>
      </c>
      <c r="J835" s="32">
        <v>2770.9</v>
      </c>
      <c r="K835" s="32">
        <v>2737.8</v>
      </c>
      <c r="L835" s="35">
        <v>99</v>
      </c>
      <c r="M835" s="32">
        <f t="shared" si="201"/>
        <v>5389838.4000000004</v>
      </c>
      <c r="N835" s="32">
        <v>0</v>
      </c>
      <c r="O835" s="32">
        <v>0</v>
      </c>
      <c r="P835" s="32">
        <v>0</v>
      </c>
      <c r="Q835" s="32">
        <f>'Таблица 3 '!C825</f>
        <v>5389838.4000000004</v>
      </c>
      <c r="R835" s="32">
        <f t="shared" si="202"/>
        <v>5389838.4000000004</v>
      </c>
      <c r="S835" s="32">
        <v>0</v>
      </c>
      <c r="T835" s="29">
        <f t="shared" si="193"/>
        <v>1945.1580352953915</v>
      </c>
      <c r="U835" s="29">
        <f t="shared" si="194"/>
        <v>1945.1580352953915</v>
      </c>
      <c r="V835" s="33" t="s">
        <v>753</v>
      </c>
    </row>
    <row r="836" spans="1:23" s="23" customFormat="1" ht="42" customHeight="1" x14ac:dyDescent="0.25">
      <c r="A836" s="25">
        <v>12</v>
      </c>
      <c r="B836" s="26" t="s">
        <v>192</v>
      </c>
      <c r="C836" s="25" t="s">
        <v>43</v>
      </c>
      <c r="D836" s="25">
        <v>1975</v>
      </c>
      <c r="E836" s="27" t="s">
        <v>39</v>
      </c>
      <c r="F836" s="25" t="s">
        <v>77</v>
      </c>
      <c r="G836" s="28">
        <v>2</v>
      </c>
      <c r="H836" s="28">
        <v>2</v>
      </c>
      <c r="I836" s="32">
        <v>1005.1</v>
      </c>
      <c r="J836" s="32">
        <v>917.4</v>
      </c>
      <c r="K836" s="32">
        <v>640</v>
      </c>
      <c r="L836" s="35">
        <v>41</v>
      </c>
      <c r="M836" s="32">
        <f t="shared" si="201"/>
        <v>1532603.71</v>
      </c>
      <c r="N836" s="32">
        <v>0</v>
      </c>
      <c r="O836" s="32">
        <v>0</v>
      </c>
      <c r="P836" s="32">
        <v>0</v>
      </c>
      <c r="Q836" s="32">
        <f>'Таблица 3 '!C826</f>
        <v>1532603.71</v>
      </c>
      <c r="R836" s="32">
        <f t="shared" si="202"/>
        <v>1532603.71</v>
      </c>
      <c r="S836" s="29">
        <v>0</v>
      </c>
      <c r="T836" s="29">
        <f t="shared" si="193"/>
        <v>1670.5948441247003</v>
      </c>
      <c r="U836" s="29">
        <f t="shared" si="194"/>
        <v>1670.5948441247003</v>
      </c>
      <c r="V836" s="33" t="s">
        <v>753</v>
      </c>
    </row>
    <row r="837" spans="1:23" s="23" customFormat="1" ht="42" customHeight="1" x14ac:dyDescent="0.25">
      <c r="A837" s="25">
        <v>13</v>
      </c>
      <c r="B837" s="26" t="s">
        <v>612</v>
      </c>
      <c r="C837" s="25" t="s">
        <v>43</v>
      </c>
      <c r="D837" s="25">
        <v>1974</v>
      </c>
      <c r="E837" s="27" t="s">
        <v>39</v>
      </c>
      <c r="F837" s="25" t="s">
        <v>77</v>
      </c>
      <c r="G837" s="28">
        <v>9</v>
      </c>
      <c r="H837" s="28">
        <v>1</v>
      </c>
      <c r="I837" s="32">
        <v>3122.1</v>
      </c>
      <c r="J837" s="32">
        <v>3119.8</v>
      </c>
      <c r="K837" s="32">
        <v>2064.4</v>
      </c>
      <c r="L837" s="35">
        <v>74</v>
      </c>
      <c r="M837" s="32">
        <f t="shared" si="201"/>
        <v>5375431.0700000003</v>
      </c>
      <c r="N837" s="32">
        <v>0</v>
      </c>
      <c r="O837" s="32">
        <v>0</v>
      </c>
      <c r="P837" s="32">
        <v>0</v>
      </c>
      <c r="Q837" s="32">
        <f>'Таблица 3 '!C827</f>
        <v>5375431.0700000003</v>
      </c>
      <c r="R837" s="32">
        <f t="shared" si="202"/>
        <v>5375431.0700000003</v>
      </c>
      <c r="S837" s="32">
        <v>0</v>
      </c>
      <c r="T837" s="29">
        <f t="shared" si="193"/>
        <v>1723.005022757869</v>
      </c>
      <c r="U837" s="29">
        <f t="shared" si="194"/>
        <v>1723.005022757869</v>
      </c>
      <c r="V837" s="33" t="s">
        <v>753</v>
      </c>
    </row>
    <row r="838" spans="1:23" s="23" customFormat="1" ht="42" customHeight="1" x14ac:dyDescent="0.25">
      <c r="A838" s="25">
        <v>14</v>
      </c>
      <c r="B838" s="26" t="s">
        <v>613</v>
      </c>
      <c r="C838" s="25" t="s">
        <v>43</v>
      </c>
      <c r="D838" s="25">
        <v>2003</v>
      </c>
      <c r="E838" s="27" t="s">
        <v>39</v>
      </c>
      <c r="F838" s="25" t="s">
        <v>77</v>
      </c>
      <c r="G838" s="28">
        <v>9</v>
      </c>
      <c r="H838" s="28">
        <v>4</v>
      </c>
      <c r="I838" s="32">
        <v>5798.6</v>
      </c>
      <c r="J838" s="32">
        <v>5795.5</v>
      </c>
      <c r="K838" s="32">
        <v>4014.6</v>
      </c>
      <c r="L838" s="35">
        <v>185</v>
      </c>
      <c r="M838" s="32">
        <f t="shared" si="201"/>
        <v>16126293.210000001</v>
      </c>
      <c r="N838" s="32">
        <v>0</v>
      </c>
      <c r="O838" s="32">
        <v>0</v>
      </c>
      <c r="P838" s="32">
        <v>0</v>
      </c>
      <c r="Q838" s="32">
        <f>'Таблица 3 '!C828</f>
        <v>16126293.210000001</v>
      </c>
      <c r="R838" s="32">
        <f t="shared" si="202"/>
        <v>16126293.210000001</v>
      </c>
      <c r="S838" s="29">
        <v>0</v>
      </c>
      <c r="T838" s="29">
        <f t="shared" si="193"/>
        <v>2782.5542593391424</v>
      </c>
      <c r="U838" s="29">
        <f t="shared" si="194"/>
        <v>2782.5542593391424</v>
      </c>
      <c r="V838" s="33" t="s">
        <v>753</v>
      </c>
    </row>
    <row r="839" spans="1:23" s="23" customFormat="1" ht="42" customHeight="1" x14ac:dyDescent="0.25">
      <c r="A839" s="25">
        <v>15</v>
      </c>
      <c r="B839" s="26" t="s">
        <v>614</v>
      </c>
      <c r="C839" s="25" t="s">
        <v>43</v>
      </c>
      <c r="D839" s="25">
        <v>2004</v>
      </c>
      <c r="E839" s="27" t="s">
        <v>39</v>
      </c>
      <c r="F839" s="25" t="s">
        <v>77</v>
      </c>
      <c r="G839" s="28">
        <v>9</v>
      </c>
      <c r="H839" s="28">
        <v>4</v>
      </c>
      <c r="I839" s="32">
        <v>5912.7</v>
      </c>
      <c r="J839" s="32">
        <v>5912.3</v>
      </c>
      <c r="K839" s="32">
        <v>4519.3999999999996</v>
      </c>
      <c r="L839" s="35">
        <v>182</v>
      </c>
      <c r="M839" s="32">
        <f t="shared" si="201"/>
        <v>16126293.210000001</v>
      </c>
      <c r="N839" s="32">
        <v>0</v>
      </c>
      <c r="O839" s="32">
        <v>0</v>
      </c>
      <c r="P839" s="32">
        <v>0</v>
      </c>
      <c r="Q839" s="32">
        <f>'Таблица 3 '!C829</f>
        <v>16126293.210000001</v>
      </c>
      <c r="R839" s="32">
        <f t="shared" si="202"/>
        <v>16126293.210000001</v>
      </c>
      <c r="S839" s="32">
        <v>0</v>
      </c>
      <c r="T839" s="29">
        <f t="shared" si="193"/>
        <v>2727.5837169967695</v>
      </c>
      <c r="U839" s="29">
        <f t="shared" si="194"/>
        <v>2727.5837169967695</v>
      </c>
      <c r="V839" s="33" t="s">
        <v>753</v>
      </c>
    </row>
    <row r="840" spans="1:23" s="23" customFormat="1" ht="47.25" customHeight="1" x14ac:dyDescent="0.25">
      <c r="A840" s="25">
        <v>16</v>
      </c>
      <c r="B840" s="26" t="s">
        <v>755</v>
      </c>
      <c r="C840" s="25" t="s">
        <v>43</v>
      </c>
      <c r="D840" s="27" t="s">
        <v>227</v>
      </c>
      <c r="E840" s="27" t="s">
        <v>140</v>
      </c>
      <c r="F840" s="25" t="s">
        <v>44</v>
      </c>
      <c r="G840" s="28">
        <v>3</v>
      </c>
      <c r="H840" s="28">
        <v>3</v>
      </c>
      <c r="I840" s="29">
        <v>3007.06</v>
      </c>
      <c r="J840" s="29">
        <v>1992.4</v>
      </c>
      <c r="K840" s="29">
        <v>1542.4</v>
      </c>
      <c r="L840" s="30">
        <v>36</v>
      </c>
      <c r="M840" s="32">
        <f t="shared" si="201"/>
        <v>27467643.969999999</v>
      </c>
      <c r="N840" s="32">
        <v>0</v>
      </c>
      <c r="O840" s="32">
        <v>0</v>
      </c>
      <c r="P840" s="32">
        <v>0</v>
      </c>
      <c r="Q840" s="32">
        <f>'Таблица 3 '!C830</f>
        <v>27467643.969999999</v>
      </c>
      <c r="R840" s="32">
        <f t="shared" si="202"/>
        <v>27467643.969999999</v>
      </c>
      <c r="S840" s="29">
        <v>0</v>
      </c>
      <c r="T840" s="29">
        <f t="shared" si="193"/>
        <v>13786.209581409354</v>
      </c>
      <c r="U840" s="29">
        <f t="shared" si="194"/>
        <v>13786.209581409354</v>
      </c>
      <c r="V840" s="33" t="s">
        <v>753</v>
      </c>
    </row>
    <row r="841" spans="1:23" s="23" customFormat="1" ht="42" customHeight="1" x14ac:dyDescent="0.25">
      <c r="A841" s="25">
        <v>17</v>
      </c>
      <c r="B841" s="26" t="s">
        <v>621</v>
      </c>
      <c r="C841" s="25" t="s">
        <v>43</v>
      </c>
      <c r="D841" s="25">
        <v>1959</v>
      </c>
      <c r="E841" s="27" t="s">
        <v>40</v>
      </c>
      <c r="F841" s="25" t="s">
        <v>77</v>
      </c>
      <c r="G841" s="28">
        <v>2</v>
      </c>
      <c r="H841" s="28">
        <v>1</v>
      </c>
      <c r="I841" s="32">
        <v>476.95</v>
      </c>
      <c r="J841" s="32">
        <v>260.39999999999998</v>
      </c>
      <c r="K841" s="32">
        <v>224.9</v>
      </c>
      <c r="L841" s="35">
        <v>8</v>
      </c>
      <c r="M841" s="32">
        <f t="shared" si="201"/>
        <v>4189769.81</v>
      </c>
      <c r="N841" s="32">
        <v>0</v>
      </c>
      <c r="O841" s="32">
        <v>0</v>
      </c>
      <c r="P841" s="32">
        <v>0</v>
      </c>
      <c r="Q841" s="32">
        <f>'Таблица 3 '!C831</f>
        <v>4189769.81</v>
      </c>
      <c r="R841" s="32">
        <f t="shared" si="202"/>
        <v>4189769.81</v>
      </c>
      <c r="S841" s="32">
        <v>0</v>
      </c>
      <c r="T841" s="29">
        <f t="shared" si="193"/>
        <v>16089.745814132106</v>
      </c>
      <c r="U841" s="29">
        <f t="shared" si="194"/>
        <v>16089.745814132106</v>
      </c>
      <c r="V841" s="33" t="s">
        <v>753</v>
      </c>
    </row>
    <row r="842" spans="1:23" s="23" customFormat="1" ht="42" customHeight="1" x14ac:dyDescent="0.25">
      <c r="A842" s="25">
        <v>18</v>
      </c>
      <c r="B842" s="34" t="s">
        <v>224</v>
      </c>
      <c r="C842" s="25" t="s">
        <v>43</v>
      </c>
      <c r="D842" s="27" t="s">
        <v>225</v>
      </c>
      <c r="E842" s="27" t="s">
        <v>39</v>
      </c>
      <c r="F842" s="25" t="s">
        <v>44</v>
      </c>
      <c r="G842" s="28">
        <v>2</v>
      </c>
      <c r="H842" s="28">
        <v>1</v>
      </c>
      <c r="I842" s="29">
        <v>486.74</v>
      </c>
      <c r="J842" s="29">
        <v>267</v>
      </c>
      <c r="K842" s="29">
        <v>264.8</v>
      </c>
      <c r="L842" s="30">
        <v>10</v>
      </c>
      <c r="M842" s="32">
        <f t="shared" si="201"/>
        <v>792233.59</v>
      </c>
      <c r="N842" s="32">
        <v>0</v>
      </c>
      <c r="O842" s="32">
        <v>0</v>
      </c>
      <c r="P842" s="32">
        <v>0</v>
      </c>
      <c r="Q842" s="32">
        <f>'Таблица 3 '!C832</f>
        <v>792233.59</v>
      </c>
      <c r="R842" s="32">
        <f t="shared" si="202"/>
        <v>792233.59</v>
      </c>
      <c r="S842" s="29">
        <v>0</v>
      </c>
      <c r="T842" s="29">
        <f t="shared" si="193"/>
        <v>2967.1670037453182</v>
      </c>
      <c r="U842" s="29">
        <f t="shared" si="194"/>
        <v>2967.1670037453182</v>
      </c>
      <c r="V842" s="33" t="s">
        <v>753</v>
      </c>
    </row>
    <row r="843" spans="1:23" s="23" customFormat="1" ht="42" customHeight="1" x14ac:dyDescent="0.25">
      <c r="A843" s="25">
        <v>19</v>
      </c>
      <c r="B843" s="26" t="s">
        <v>229</v>
      </c>
      <c r="C843" s="25" t="s">
        <v>43</v>
      </c>
      <c r="D843" s="27" t="s">
        <v>230</v>
      </c>
      <c r="E843" s="27" t="s">
        <v>39</v>
      </c>
      <c r="F843" s="25" t="s">
        <v>44</v>
      </c>
      <c r="G843" s="28">
        <v>3</v>
      </c>
      <c r="H843" s="28">
        <v>2</v>
      </c>
      <c r="I843" s="29">
        <v>2481.84</v>
      </c>
      <c r="J843" s="29">
        <v>1356.4</v>
      </c>
      <c r="K843" s="29">
        <v>1737.72</v>
      </c>
      <c r="L843" s="30">
        <v>37</v>
      </c>
      <c r="M843" s="32">
        <f t="shared" si="201"/>
        <v>6704510.4400000004</v>
      </c>
      <c r="N843" s="32">
        <v>0</v>
      </c>
      <c r="O843" s="32">
        <v>0</v>
      </c>
      <c r="P843" s="32">
        <v>0</v>
      </c>
      <c r="Q843" s="32">
        <f>'Таблица 3 '!C833</f>
        <v>6704510.4400000004</v>
      </c>
      <c r="R843" s="32">
        <f t="shared" si="202"/>
        <v>6704510.4400000004</v>
      </c>
      <c r="S843" s="32">
        <v>0</v>
      </c>
      <c r="T843" s="29">
        <f t="shared" si="193"/>
        <v>4942.8711589501618</v>
      </c>
      <c r="U843" s="29">
        <f t="shared" si="194"/>
        <v>4942.8711589501618</v>
      </c>
      <c r="V843" s="33" t="s">
        <v>753</v>
      </c>
    </row>
    <row r="844" spans="1:23" s="23" customFormat="1" ht="42" customHeight="1" x14ac:dyDescent="0.25">
      <c r="A844" s="25">
        <v>20</v>
      </c>
      <c r="B844" s="26" t="s">
        <v>236</v>
      </c>
      <c r="C844" s="25" t="s">
        <v>43</v>
      </c>
      <c r="D844" s="25">
        <v>1959</v>
      </c>
      <c r="E844" s="27" t="s">
        <v>622</v>
      </c>
      <c r="F844" s="25" t="s">
        <v>44</v>
      </c>
      <c r="G844" s="28">
        <v>2</v>
      </c>
      <c r="H844" s="28">
        <v>2</v>
      </c>
      <c r="I844" s="29">
        <v>428.5</v>
      </c>
      <c r="J844" s="29">
        <v>386.1</v>
      </c>
      <c r="K844" s="29">
        <v>318.7</v>
      </c>
      <c r="L844" s="30">
        <v>23</v>
      </c>
      <c r="M844" s="32">
        <f t="shared" si="201"/>
        <v>1145623.18</v>
      </c>
      <c r="N844" s="32">
        <v>0</v>
      </c>
      <c r="O844" s="32">
        <v>0</v>
      </c>
      <c r="P844" s="32">
        <v>0</v>
      </c>
      <c r="Q844" s="32">
        <f>'Таблица 3 '!C834</f>
        <v>1145623.18</v>
      </c>
      <c r="R844" s="32">
        <f t="shared" si="202"/>
        <v>1145623.18</v>
      </c>
      <c r="S844" s="29">
        <v>0</v>
      </c>
      <c r="T844" s="29">
        <f t="shared" si="193"/>
        <v>2967.167003367003</v>
      </c>
      <c r="U844" s="29">
        <f t="shared" si="194"/>
        <v>2967.167003367003</v>
      </c>
      <c r="V844" s="33" t="s">
        <v>753</v>
      </c>
    </row>
    <row r="845" spans="1:23" s="23" customFormat="1" ht="42" customHeight="1" x14ac:dyDescent="0.25">
      <c r="A845" s="25">
        <v>21</v>
      </c>
      <c r="B845" s="26" t="s">
        <v>237</v>
      </c>
      <c r="C845" s="25" t="s">
        <v>43</v>
      </c>
      <c r="D845" s="27" t="s">
        <v>86</v>
      </c>
      <c r="E845" s="27" t="s">
        <v>39</v>
      </c>
      <c r="F845" s="25" t="s">
        <v>48</v>
      </c>
      <c r="G845" s="28">
        <v>5</v>
      </c>
      <c r="H845" s="28">
        <v>2</v>
      </c>
      <c r="I845" s="29">
        <v>4073.2</v>
      </c>
      <c r="J845" s="29">
        <v>3074.2</v>
      </c>
      <c r="K845" s="29">
        <v>3219.6</v>
      </c>
      <c r="L845" s="30">
        <v>163</v>
      </c>
      <c r="M845" s="32">
        <f t="shared" si="201"/>
        <v>2471170.46</v>
      </c>
      <c r="N845" s="32">
        <v>0</v>
      </c>
      <c r="O845" s="32">
        <v>0</v>
      </c>
      <c r="P845" s="32">
        <v>0</v>
      </c>
      <c r="Q845" s="32">
        <f>'Таблица 3 '!C835</f>
        <v>2471170.46</v>
      </c>
      <c r="R845" s="32">
        <f t="shared" si="202"/>
        <v>2471170.46</v>
      </c>
      <c r="S845" s="32">
        <v>0</v>
      </c>
      <c r="T845" s="29">
        <f t="shared" si="193"/>
        <v>803.84179949255099</v>
      </c>
      <c r="U845" s="29">
        <f t="shared" si="194"/>
        <v>803.84179949255099</v>
      </c>
      <c r="V845" s="33" t="s">
        <v>753</v>
      </c>
    </row>
    <row r="846" spans="1:23" s="23" customFormat="1" ht="42" customHeight="1" x14ac:dyDescent="0.25">
      <c r="A846" s="25">
        <v>22</v>
      </c>
      <c r="B846" s="26" t="s">
        <v>756</v>
      </c>
      <c r="C846" s="25" t="s">
        <v>43</v>
      </c>
      <c r="D846" s="27" t="s">
        <v>109</v>
      </c>
      <c r="E846" s="27">
        <v>2021</v>
      </c>
      <c r="F846" s="25" t="s">
        <v>44</v>
      </c>
      <c r="G846" s="28">
        <v>9</v>
      </c>
      <c r="H846" s="28">
        <v>2</v>
      </c>
      <c r="I846" s="29">
        <v>13836.7</v>
      </c>
      <c r="J846" s="29">
        <v>8044</v>
      </c>
      <c r="K846" s="29">
        <v>6997.8</v>
      </c>
      <c r="L846" s="30">
        <v>304</v>
      </c>
      <c r="M846" s="32">
        <f t="shared" si="201"/>
        <v>2748308.05</v>
      </c>
      <c r="N846" s="32">
        <v>0</v>
      </c>
      <c r="O846" s="32">
        <v>0</v>
      </c>
      <c r="P846" s="32">
        <v>0</v>
      </c>
      <c r="Q846" s="32">
        <f>'Таблица 3 '!C836</f>
        <v>2748308.05</v>
      </c>
      <c r="R846" s="32">
        <f t="shared" si="202"/>
        <v>2748308.05</v>
      </c>
      <c r="S846" s="29">
        <v>0</v>
      </c>
      <c r="T846" s="29">
        <f t="shared" si="193"/>
        <v>341.65937966185976</v>
      </c>
      <c r="U846" s="29">
        <f t="shared" si="194"/>
        <v>341.65937966185976</v>
      </c>
      <c r="V846" s="33" t="s">
        <v>753</v>
      </c>
    </row>
    <row r="847" spans="1:23" s="23" customFormat="1" ht="42" customHeight="1" x14ac:dyDescent="0.25">
      <c r="A847" s="25">
        <v>23</v>
      </c>
      <c r="B847" s="26" t="s">
        <v>626</v>
      </c>
      <c r="C847" s="25" t="s">
        <v>43</v>
      </c>
      <c r="D847" s="25">
        <v>1952</v>
      </c>
      <c r="E847" s="27" t="s">
        <v>39</v>
      </c>
      <c r="F847" s="25" t="s">
        <v>563</v>
      </c>
      <c r="G847" s="28">
        <v>2</v>
      </c>
      <c r="H847" s="28">
        <v>1</v>
      </c>
      <c r="I847" s="29">
        <v>383.1</v>
      </c>
      <c r="J847" s="29">
        <v>379.7</v>
      </c>
      <c r="K847" s="29">
        <v>379.7</v>
      </c>
      <c r="L847" s="30">
        <v>21</v>
      </c>
      <c r="M847" s="32">
        <f t="shared" si="201"/>
        <v>3139775.37</v>
      </c>
      <c r="N847" s="32">
        <v>0</v>
      </c>
      <c r="O847" s="32">
        <v>0</v>
      </c>
      <c r="P847" s="32">
        <v>0</v>
      </c>
      <c r="Q847" s="32">
        <f>'Таблица 3 '!C837</f>
        <v>3139775.37</v>
      </c>
      <c r="R847" s="32">
        <f t="shared" si="202"/>
        <v>3139775.37</v>
      </c>
      <c r="S847" s="32">
        <v>0</v>
      </c>
      <c r="T847" s="29">
        <f t="shared" si="193"/>
        <v>8269.0949960495127</v>
      </c>
      <c r="U847" s="29">
        <f t="shared" si="194"/>
        <v>8269.0949960495127</v>
      </c>
      <c r="V847" s="33" t="s">
        <v>753</v>
      </c>
    </row>
    <row r="848" spans="1:23" s="23" customFormat="1" ht="42" customHeight="1" x14ac:dyDescent="0.25">
      <c r="A848" s="25">
        <v>24</v>
      </c>
      <c r="B848" s="26" t="s">
        <v>634</v>
      </c>
      <c r="C848" s="25" t="s">
        <v>43</v>
      </c>
      <c r="D848" s="25">
        <v>1987</v>
      </c>
      <c r="E848" s="27" t="s">
        <v>39</v>
      </c>
      <c r="F848" s="25" t="s">
        <v>44</v>
      </c>
      <c r="G848" s="28">
        <v>5</v>
      </c>
      <c r="H848" s="28">
        <v>6</v>
      </c>
      <c r="I848" s="29">
        <v>4113.3</v>
      </c>
      <c r="J848" s="29">
        <v>4113.3</v>
      </c>
      <c r="K848" s="29">
        <v>3757.5</v>
      </c>
      <c r="L848" s="30">
        <v>138</v>
      </c>
      <c r="M848" s="32">
        <f t="shared" si="201"/>
        <v>14044891.840000002</v>
      </c>
      <c r="N848" s="32">
        <v>0</v>
      </c>
      <c r="O848" s="32">
        <v>0</v>
      </c>
      <c r="P848" s="32">
        <v>0</v>
      </c>
      <c r="Q848" s="32">
        <f>'Таблица 3 '!C838</f>
        <v>14044891.840000002</v>
      </c>
      <c r="R848" s="32">
        <f t="shared" si="202"/>
        <v>14044891.840000002</v>
      </c>
      <c r="S848" s="29">
        <v>0</v>
      </c>
      <c r="T848" s="29">
        <f t="shared" si="193"/>
        <v>3414.5070478691077</v>
      </c>
      <c r="U848" s="29">
        <f t="shared" si="194"/>
        <v>3414.5070478691077</v>
      </c>
      <c r="V848" s="33" t="s">
        <v>753</v>
      </c>
      <c r="W848" s="44"/>
    </row>
    <row r="849" spans="1:23" s="23" customFormat="1" ht="42" customHeight="1" x14ac:dyDescent="0.25">
      <c r="A849" s="25">
        <v>25</v>
      </c>
      <c r="B849" s="26" t="s">
        <v>282</v>
      </c>
      <c r="C849" s="25" t="s">
        <v>43</v>
      </c>
      <c r="D849" s="25">
        <v>1965</v>
      </c>
      <c r="E849" s="27" t="s">
        <v>50</v>
      </c>
      <c r="F849" s="25" t="s">
        <v>77</v>
      </c>
      <c r="G849" s="28">
        <v>5</v>
      </c>
      <c r="H849" s="28">
        <v>3</v>
      </c>
      <c r="I849" s="32">
        <v>2515.1999999999998</v>
      </c>
      <c r="J849" s="32">
        <v>2498.1</v>
      </c>
      <c r="K849" s="32">
        <v>2236.9</v>
      </c>
      <c r="L849" s="35">
        <v>95</v>
      </c>
      <c r="M849" s="32">
        <f t="shared" si="201"/>
        <v>18031380.669999998</v>
      </c>
      <c r="N849" s="32">
        <v>0</v>
      </c>
      <c r="O849" s="32">
        <v>0</v>
      </c>
      <c r="P849" s="32">
        <v>0</v>
      </c>
      <c r="Q849" s="32">
        <f>'Таблица 3 '!C839</f>
        <v>18031380.669999998</v>
      </c>
      <c r="R849" s="32">
        <f t="shared" si="202"/>
        <v>18031380.669999998</v>
      </c>
      <c r="S849" s="32">
        <v>0</v>
      </c>
      <c r="T849" s="29">
        <f t="shared" si="193"/>
        <v>7218.0379768624152</v>
      </c>
      <c r="U849" s="29">
        <f t="shared" si="194"/>
        <v>7218.0379768624152</v>
      </c>
      <c r="V849" s="33" t="s">
        <v>753</v>
      </c>
    </row>
    <row r="850" spans="1:23" s="23" customFormat="1" ht="42" customHeight="1" x14ac:dyDescent="0.25">
      <c r="A850" s="25">
        <v>26</v>
      </c>
      <c r="B850" s="36" t="s">
        <v>290</v>
      </c>
      <c r="C850" s="25" t="s">
        <v>43</v>
      </c>
      <c r="D850" s="25">
        <v>1960</v>
      </c>
      <c r="E850" s="27" t="s">
        <v>622</v>
      </c>
      <c r="F850" s="25" t="s">
        <v>44</v>
      </c>
      <c r="G850" s="28">
        <v>2</v>
      </c>
      <c r="H850" s="28">
        <v>2</v>
      </c>
      <c r="I850" s="29">
        <v>511</v>
      </c>
      <c r="J850" s="29">
        <v>264.64999999999998</v>
      </c>
      <c r="K850" s="29">
        <v>281.7</v>
      </c>
      <c r="L850" s="30">
        <v>12</v>
      </c>
      <c r="M850" s="32">
        <f t="shared" si="201"/>
        <v>785260.74999999988</v>
      </c>
      <c r="N850" s="32">
        <v>0</v>
      </c>
      <c r="O850" s="32">
        <v>0</v>
      </c>
      <c r="P850" s="32">
        <v>0</v>
      </c>
      <c r="Q850" s="32">
        <f>'Таблица 3 '!C840</f>
        <v>785260.74999999988</v>
      </c>
      <c r="R850" s="32">
        <f t="shared" si="202"/>
        <v>785260.74999999988</v>
      </c>
      <c r="S850" s="29">
        <v>0</v>
      </c>
      <c r="T850" s="29">
        <f t="shared" si="193"/>
        <v>2967.1670130360853</v>
      </c>
      <c r="U850" s="29">
        <f t="shared" si="194"/>
        <v>2967.1670130360853</v>
      </c>
      <c r="V850" s="33" t="s">
        <v>753</v>
      </c>
      <c r="W850" s="44"/>
    </row>
    <row r="851" spans="1:23" s="23" customFormat="1" ht="42" customHeight="1" x14ac:dyDescent="0.25">
      <c r="A851" s="25">
        <v>27</v>
      </c>
      <c r="B851" s="26" t="s">
        <v>293</v>
      </c>
      <c r="C851" s="25" t="s">
        <v>43</v>
      </c>
      <c r="D851" s="25">
        <v>1988</v>
      </c>
      <c r="E851" s="27" t="s">
        <v>57</v>
      </c>
      <c r="F851" s="25" t="s">
        <v>48</v>
      </c>
      <c r="G851" s="28">
        <v>9</v>
      </c>
      <c r="H851" s="28">
        <v>3</v>
      </c>
      <c r="I851" s="32">
        <v>6599.14</v>
      </c>
      <c r="J851" s="32">
        <v>5102.3</v>
      </c>
      <c r="K851" s="32">
        <v>4835</v>
      </c>
      <c r="L851" s="35">
        <v>174</v>
      </c>
      <c r="M851" s="32">
        <f t="shared" si="201"/>
        <v>27115378.410000004</v>
      </c>
      <c r="N851" s="32">
        <v>0</v>
      </c>
      <c r="O851" s="32">
        <v>0</v>
      </c>
      <c r="P851" s="32">
        <v>0</v>
      </c>
      <c r="Q851" s="32">
        <f>'Таблица 3 '!C841</f>
        <v>27115378.410000004</v>
      </c>
      <c r="R851" s="32">
        <f t="shared" si="202"/>
        <v>27115378.410000004</v>
      </c>
      <c r="S851" s="32">
        <v>0</v>
      </c>
      <c r="T851" s="29">
        <f t="shared" si="193"/>
        <v>5314.3441996746569</v>
      </c>
      <c r="U851" s="29">
        <f t="shared" si="194"/>
        <v>5314.3441996746569</v>
      </c>
      <c r="V851" s="33" t="s">
        <v>753</v>
      </c>
    </row>
    <row r="852" spans="1:23" s="23" customFormat="1" ht="42" customHeight="1" x14ac:dyDescent="0.25">
      <c r="A852" s="25">
        <v>28</v>
      </c>
      <c r="B852" s="26" t="s">
        <v>297</v>
      </c>
      <c r="C852" s="25" t="s">
        <v>43</v>
      </c>
      <c r="D852" s="25">
        <v>1973</v>
      </c>
      <c r="E852" s="27" t="s">
        <v>39</v>
      </c>
      <c r="F852" s="25" t="s">
        <v>48</v>
      </c>
      <c r="G852" s="28">
        <v>5</v>
      </c>
      <c r="H852" s="28">
        <v>4</v>
      </c>
      <c r="I852" s="32">
        <v>4583</v>
      </c>
      <c r="J852" s="32">
        <v>3295.8</v>
      </c>
      <c r="K852" s="32">
        <v>3137.7</v>
      </c>
      <c r="L852" s="35">
        <v>120</v>
      </c>
      <c r="M852" s="32">
        <f t="shared" si="201"/>
        <v>7068112.9700000007</v>
      </c>
      <c r="N852" s="32">
        <v>0</v>
      </c>
      <c r="O852" s="32">
        <v>0</v>
      </c>
      <c r="P852" s="32">
        <v>0</v>
      </c>
      <c r="Q852" s="32">
        <f>'Таблица 3 '!C842</f>
        <v>7068112.9700000007</v>
      </c>
      <c r="R852" s="32">
        <f t="shared" si="202"/>
        <v>7068112.9700000007</v>
      </c>
      <c r="S852" s="32">
        <v>0</v>
      </c>
      <c r="T852" s="29">
        <f t="shared" si="193"/>
        <v>2144.5818830026096</v>
      </c>
      <c r="U852" s="29">
        <f t="shared" si="194"/>
        <v>2144.5818830026096</v>
      </c>
      <c r="V852" s="33" t="s">
        <v>753</v>
      </c>
    </row>
    <row r="853" spans="1:23" s="23" customFormat="1" ht="42" customHeight="1" x14ac:dyDescent="0.25">
      <c r="A853" s="25">
        <v>29</v>
      </c>
      <c r="B853" s="26" t="s">
        <v>303</v>
      </c>
      <c r="C853" s="25" t="s">
        <v>43</v>
      </c>
      <c r="D853" s="25">
        <v>1984</v>
      </c>
      <c r="E853" s="27" t="s">
        <v>39</v>
      </c>
      <c r="F853" s="25" t="s">
        <v>48</v>
      </c>
      <c r="G853" s="28">
        <v>5</v>
      </c>
      <c r="H853" s="28">
        <v>4</v>
      </c>
      <c r="I853" s="29">
        <v>3963.4</v>
      </c>
      <c r="J853" s="29">
        <v>2717.4</v>
      </c>
      <c r="K853" s="29">
        <v>2560.8000000000002</v>
      </c>
      <c r="L853" s="30">
        <v>138</v>
      </c>
      <c r="M853" s="32">
        <f t="shared" si="201"/>
        <v>6317955</v>
      </c>
      <c r="N853" s="32">
        <v>0</v>
      </c>
      <c r="O853" s="32">
        <v>0</v>
      </c>
      <c r="P853" s="32">
        <v>0</v>
      </c>
      <c r="Q853" s="32">
        <f>'Таблица 3 '!C843</f>
        <v>6317955</v>
      </c>
      <c r="R853" s="32">
        <f t="shared" si="202"/>
        <v>6317955</v>
      </c>
      <c r="S853" s="29">
        <v>0</v>
      </c>
      <c r="T853" s="29">
        <f t="shared" ref="T853:T916" si="203">M853/J853</f>
        <v>2325</v>
      </c>
      <c r="U853" s="29">
        <f t="shared" si="194"/>
        <v>2325</v>
      </c>
      <c r="V853" s="33" t="s">
        <v>753</v>
      </c>
      <c r="W853" s="44"/>
    </row>
    <row r="854" spans="1:23" s="23" customFormat="1" ht="23.25" customHeight="1" x14ac:dyDescent="0.2">
      <c r="A854" s="322" t="s">
        <v>309</v>
      </c>
      <c r="B854" s="322"/>
      <c r="C854" s="18" t="s">
        <v>39</v>
      </c>
      <c r="D854" s="18" t="s">
        <v>39</v>
      </c>
      <c r="E854" s="19" t="s">
        <v>39</v>
      </c>
      <c r="F854" s="18" t="s">
        <v>39</v>
      </c>
      <c r="G854" s="20" t="s">
        <v>39</v>
      </c>
      <c r="H854" s="20" t="s">
        <v>39</v>
      </c>
      <c r="I854" s="60">
        <f t="shared" ref="I854:S854" si="204">I855</f>
        <v>774.58</v>
      </c>
      <c r="J854" s="60">
        <f t="shared" si="204"/>
        <v>736.96</v>
      </c>
      <c r="K854" s="60">
        <f t="shared" si="204"/>
        <v>736.96</v>
      </c>
      <c r="L854" s="61">
        <f t="shared" si="204"/>
        <v>34</v>
      </c>
      <c r="M854" s="60">
        <f t="shared" si="204"/>
        <v>365117.1</v>
      </c>
      <c r="N854" s="60">
        <f t="shared" si="204"/>
        <v>0</v>
      </c>
      <c r="O854" s="60">
        <f t="shared" si="204"/>
        <v>0</v>
      </c>
      <c r="P854" s="60">
        <f t="shared" si="204"/>
        <v>0</v>
      </c>
      <c r="Q854" s="60">
        <f t="shared" si="204"/>
        <v>365117.1</v>
      </c>
      <c r="R854" s="60">
        <f t="shared" si="204"/>
        <v>365117.1</v>
      </c>
      <c r="S854" s="60">
        <f t="shared" si="204"/>
        <v>0</v>
      </c>
      <c r="T854" s="58" t="s">
        <v>39</v>
      </c>
      <c r="U854" s="24" t="s">
        <v>39</v>
      </c>
      <c r="V854" s="20" t="s">
        <v>39</v>
      </c>
    </row>
    <row r="855" spans="1:23" s="23" customFormat="1" ht="44.25" customHeight="1" x14ac:dyDescent="0.25">
      <c r="A855" s="25">
        <v>1</v>
      </c>
      <c r="B855" s="37" t="s">
        <v>757</v>
      </c>
      <c r="C855" s="25" t="s">
        <v>43</v>
      </c>
      <c r="D855" s="25">
        <v>1977</v>
      </c>
      <c r="E855" s="27" t="s">
        <v>39</v>
      </c>
      <c r="F855" s="25" t="s">
        <v>77</v>
      </c>
      <c r="G855" s="28">
        <v>2</v>
      </c>
      <c r="H855" s="28">
        <v>2</v>
      </c>
      <c r="I855" s="29">
        <v>774.58</v>
      </c>
      <c r="J855" s="29">
        <v>736.96</v>
      </c>
      <c r="K855" s="29">
        <v>736.96</v>
      </c>
      <c r="L855" s="30">
        <v>34</v>
      </c>
      <c r="M855" s="29">
        <f>SUM(N855:Q855)</f>
        <v>365117.1</v>
      </c>
      <c r="N855" s="29">
        <v>0</v>
      </c>
      <c r="O855" s="29">
        <v>0</v>
      </c>
      <c r="P855" s="29">
        <v>0</v>
      </c>
      <c r="Q855" s="32">
        <f>'Таблица 3 '!C845</f>
        <v>365117.1</v>
      </c>
      <c r="R855" s="29">
        <f>Q855</f>
        <v>365117.1</v>
      </c>
      <c r="S855" s="29">
        <v>0</v>
      </c>
      <c r="T855" s="42">
        <f t="shared" si="203"/>
        <v>495.43679439861046</v>
      </c>
      <c r="U855" s="29">
        <f t="shared" ref="U855:U917" si="205">T855</f>
        <v>495.43679439861046</v>
      </c>
      <c r="V855" s="33" t="s">
        <v>45</v>
      </c>
      <c r="W855" s="44"/>
    </row>
    <row r="856" spans="1:23" s="23" customFormat="1" ht="25.15" customHeight="1" x14ac:dyDescent="0.2">
      <c r="A856" s="322" t="s">
        <v>318</v>
      </c>
      <c r="B856" s="322"/>
      <c r="C856" s="20" t="s">
        <v>39</v>
      </c>
      <c r="D856" s="20" t="s">
        <v>39</v>
      </c>
      <c r="E856" s="62" t="s">
        <v>39</v>
      </c>
      <c r="F856" s="20" t="s">
        <v>39</v>
      </c>
      <c r="G856" s="20" t="s">
        <v>39</v>
      </c>
      <c r="H856" s="20" t="s">
        <v>39</v>
      </c>
      <c r="I856" s="60">
        <f t="shared" ref="I856:S856" si="206">I857</f>
        <v>1570.86</v>
      </c>
      <c r="J856" s="60">
        <f t="shared" si="206"/>
        <v>1522.6</v>
      </c>
      <c r="K856" s="60">
        <f t="shared" si="206"/>
        <v>1296.8</v>
      </c>
      <c r="L856" s="61">
        <f t="shared" si="206"/>
        <v>58</v>
      </c>
      <c r="M856" s="60">
        <f t="shared" si="206"/>
        <v>14015314.959999999</v>
      </c>
      <c r="N856" s="60">
        <f t="shared" si="206"/>
        <v>0</v>
      </c>
      <c r="O856" s="60">
        <f t="shared" si="206"/>
        <v>0</v>
      </c>
      <c r="P856" s="60">
        <f t="shared" si="206"/>
        <v>0</v>
      </c>
      <c r="Q856" s="60">
        <f t="shared" si="206"/>
        <v>14015314.959999999</v>
      </c>
      <c r="R856" s="60">
        <f t="shared" si="206"/>
        <v>14015314.959999999</v>
      </c>
      <c r="S856" s="60">
        <f t="shared" si="206"/>
        <v>0</v>
      </c>
      <c r="T856" s="24" t="s">
        <v>39</v>
      </c>
      <c r="U856" s="24" t="s">
        <v>39</v>
      </c>
      <c r="V856" s="62" t="s">
        <v>39</v>
      </c>
    </row>
    <row r="857" spans="1:23" s="23" customFormat="1" ht="42" customHeight="1" x14ac:dyDescent="0.25">
      <c r="A857" s="25">
        <v>1</v>
      </c>
      <c r="B857" s="38" t="s">
        <v>646</v>
      </c>
      <c r="C857" s="25" t="s">
        <v>43</v>
      </c>
      <c r="D857" s="28">
        <v>1990</v>
      </c>
      <c r="E857" s="63" t="s">
        <v>39</v>
      </c>
      <c r="F857" s="25" t="s">
        <v>77</v>
      </c>
      <c r="G857" s="28">
        <v>3</v>
      </c>
      <c r="H857" s="28">
        <v>3</v>
      </c>
      <c r="I857" s="29">
        <v>1570.86</v>
      </c>
      <c r="J857" s="29">
        <v>1522.6</v>
      </c>
      <c r="K857" s="29">
        <v>1296.8</v>
      </c>
      <c r="L857" s="30">
        <v>58</v>
      </c>
      <c r="M857" s="31">
        <f>SUM(N857:Q857)</f>
        <v>14015314.959999999</v>
      </c>
      <c r="N857" s="29">
        <v>0</v>
      </c>
      <c r="O857" s="29">
        <v>0</v>
      </c>
      <c r="P857" s="29">
        <v>0</v>
      </c>
      <c r="Q857" s="29">
        <f>'Таблица 3 '!C847</f>
        <v>14015314.959999999</v>
      </c>
      <c r="R857" s="29">
        <f>Q857</f>
        <v>14015314.959999999</v>
      </c>
      <c r="S857" s="29">
        <v>0</v>
      </c>
      <c r="T857" s="29">
        <f t="shared" si="203"/>
        <v>9204.8567975830811</v>
      </c>
      <c r="U857" s="29">
        <f t="shared" si="205"/>
        <v>9204.8567975830811</v>
      </c>
      <c r="V857" s="33" t="s">
        <v>753</v>
      </c>
      <c r="W857" s="44"/>
    </row>
    <row r="858" spans="1:23" s="23" customFormat="1" ht="23.25" customHeight="1" x14ac:dyDescent="0.2">
      <c r="A858" s="322" t="s">
        <v>327</v>
      </c>
      <c r="B858" s="322"/>
      <c r="C858" s="18" t="s">
        <v>39</v>
      </c>
      <c r="D858" s="18" t="s">
        <v>39</v>
      </c>
      <c r="E858" s="19" t="s">
        <v>39</v>
      </c>
      <c r="F858" s="18" t="s">
        <v>39</v>
      </c>
      <c r="G858" s="20" t="s">
        <v>39</v>
      </c>
      <c r="H858" s="20" t="s">
        <v>39</v>
      </c>
      <c r="I858" s="60">
        <f t="shared" ref="I858:S858" si="207">SUM(I859:I874)</f>
        <v>35572.399999999987</v>
      </c>
      <c r="J858" s="60">
        <f t="shared" si="207"/>
        <v>30466.46</v>
      </c>
      <c r="K858" s="60">
        <f t="shared" si="207"/>
        <v>28430.959999999999</v>
      </c>
      <c r="L858" s="61">
        <f t="shared" si="207"/>
        <v>1440</v>
      </c>
      <c r="M858" s="60">
        <f t="shared" si="207"/>
        <v>58316525.04999999</v>
      </c>
      <c r="N858" s="60">
        <f t="shared" si="207"/>
        <v>0</v>
      </c>
      <c r="O858" s="60">
        <f t="shared" si="207"/>
        <v>0</v>
      </c>
      <c r="P858" s="60">
        <f t="shared" si="207"/>
        <v>0</v>
      </c>
      <c r="Q858" s="60">
        <f t="shared" si="207"/>
        <v>58316525.04999999</v>
      </c>
      <c r="R858" s="60">
        <f t="shared" si="207"/>
        <v>58316525.04999999</v>
      </c>
      <c r="S858" s="60">
        <f t="shared" si="207"/>
        <v>0</v>
      </c>
      <c r="T858" s="24" t="s">
        <v>39</v>
      </c>
      <c r="U858" s="24" t="s">
        <v>39</v>
      </c>
      <c r="V858" s="62" t="s">
        <v>39</v>
      </c>
    </row>
    <row r="859" spans="1:23" s="23" customFormat="1" ht="45.75" customHeight="1" x14ac:dyDescent="0.25">
      <c r="A859" s="25">
        <v>1</v>
      </c>
      <c r="B859" s="38" t="s">
        <v>330</v>
      </c>
      <c r="C859" s="25" t="s">
        <v>43</v>
      </c>
      <c r="D859" s="25">
        <v>1970</v>
      </c>
      <c r="E859" s="27">
        <v>2018</v>
      </c>
      <c r="F859" s="25" t="s">
        <v>77</v>
      </c>
      <c r="G859" s="28">
        <v>2</v>
      </c>
      <c r="H859" s="28">
        <v>2</v>
      </c>
      <c r="I859" s="29">
        <v>757.2</v>
      </c>
      <c r="J859" s="29">
        <v>719</v>
      </c>
      <c r="K859" s="29">
        <v>618.9</v>
      </c>
      <c r="L859" s="30">
        <v>35</v>
      </c>
      <c r="M859" s="29">
        <f t="shared" ref="M859:M874" si="208">SUM(N859:Q859)</f>
        <v>3094197.23</v>
      </c>
      <c r="N859" s="29">
        <v>0</v>
      </c>
      <c r="O859" s="29">
        <v>0</v>
      </c>
      <c r="P859" s="29">
        <v>0</v>
      </c>
      <c r="Q859" s="29">
        <f>'Таблица 3 '!C849</f>
        <v>3094197.23</v>
      </c>
      <c r="R859" s="29">
        <f t="shared" ref="R859:R874" si="209">Q859</f>
        <v>3094197.23</v>
      </c>
      <c r="S859" s="29">
        <v>0</v>
      </c>
      <c r="T859" s="29">
        <f t="shared" si="203"/>
        <v>4303.4731988873436</v>
      </c>
      <c r="U859" s="29">
        <f t="shared" si="205"/>
        <v>4303.4731988873436</v>
      </c>
      <c r="V859" s="33" t="s">
        <v>753</v>
      </c>
    </row>
    <row r="860" spans="1:23" s="23" customFormat="1" ht="45.75" customHeight="1" x14ac:dyDescent="0.25">
      <c r="A860" s="25">
        <v>2</v>
      </c>
      <c r="B860" s="37" t="s">
        <v>758</v>
      </c>
      <c r="C860" s="25" t="s">
        <v>43</v>
      </c>
      <c r="D860" s="25">
        <v>1966</v>
      </c>
      <c r="E860" s="27">
        <v>2024</v>
      </c>
      <c r="F860" s="25" t="s">
        <v>77</v>
      </c>
      <c r="G860" s="28">
        <v>2</v>
      </c>
      <c r="H860" s="28">
        <v>2</v>
      </c>
      <c r="I860" s="29">
        <v>393.9</v>
      </c>
      <c r="J860" s="29">
        <v>355</v>
      </c>
      <c r="K860" s="29">
        <v>313.3</v>
      </c>
      <c r="L860" s="30">
        <v>19</v>
      </c>
      <c r="M860" s="29">
        <f t="shared" si="208"/>
        <v>286030.61</v>
      </c>
      <c r="N860" s="29">
        <v>0</v>
      </c>
      <c r="O860" s="29">
        <v>0</v>
      </c>
      <c r="P860" s="29">
        <v>0</v>
      </c>
      <c r="Q860" s="29">
        <f>'Таблица 3 '!C850</f>
        <v>286030.61</v>
      </c>
      <c r="R860" s="29">
        <f t="shared" si="209"/>
        <v>286030.61</v>
      </c>
      <c r="S860" s="29">
        <v>0</v>
      </c>
      <c r="T860" s="29">
        <f t="shared" si="203"/>
        <v>805.72002816901409</v>
      </c>
      <c r="U860" s="29">
        <f t="shared" si="205"/>
        <v>805.72002816901409</v>
      </c>
      <c r="V860" s="33" t="s">
        <v>753</v>
      </c>
    </row>
    <row r="861" spans="1:23" s="23" customFormat="1" ht="45.75" customHeight="1" x14ac:dyDescent="0.25">
      <c r="A861" s="25">
        <v>3</v>
      </c>
      <c r="B861" s="37" t="s">
        <v>336</v>
      </c>
      <c r="C861" s="25" t="s">
        <v>43</v>
      </c>
      <c r="D861" s="25">
        <v>1955</v>
      </c>
      <c r="E861" s="27" t="s">
        <v>39</v>
      </c>
      <c r="F861" s="25" t="s">
        <v>77</v>
      </c>
      <c r="G861" s="28">
        <v>2</v>
      </c>
      <c r="H861" s="28">
        <v>2</v>
      </c>
      <c r="I861" s="29">
        <v>436.7</v>
      </c>
      <c r="J861" s="29">
        <v>392.6</v>
      </c>
      <c r="K861" s="29">
        <v>392.6</v>
      </c>
      <c r="L861" s="30">
        <v>20</v>
      </c>
      <c r="M861" s="29">
        <f t="shared" si="208"/>
        <v>1861449.6099999999</v>
      </c>
      <c r="N861" s="29">
        <v>0</v>
      </c>
      <c r="O861" s="29">
        <v>0</v>
      </c>
      <c r="P861" s="29">
        <v>0</v>
      </c>
      <c r="Q861" s="29">
        <f>'Таблица 3 '!C851</f>
        <v>1861449.6099999999</v>
      </c>
      <c r="R861" s="29">
        <f t="shared" si="209"/>
        <v>1861449.6099999999</v>
      </c>
      <c r="S861" s="29">
        <v>0</v>
      </c>
      <c r="T861" s="29">
        <f t="shared" si="203"/>
        <v>4741.338792664289</v>
      </c>
      <c r="U861" s="29">
        <f t="shared" si="205"/>
        <v>4741.338792664289</v>
      </c>
      <c r="V861" s="33" t="s">
        <v>753</v>
      </c>
      <c r="W861" s="44"/>
    </row>
    <row r="862" spans="1:23" s="23" customFormat="1" ht="45.75" customHeight="1" x14ac:dyDescent="0.25">
      <c r="A862" s="25">
        <v>4</v>
      </c>
      <c r="B862" s="37" t="s">
        <v>759</v>
      </c>
      <c r="C862" s="25" t="s">
        <v>43</v>
      </c>
      <c r="D862" s="25">
        <v>1970</v>
      </c>
      <c r="E862" s="27" t="s">
        <v>39</v>
      </c>
      <c r="F862" s="25" t="s">
        <v>77</v>
      </c>
      <c r="G862" s="28">
        <v>2</v>
      </c>
      <c r="H862" s="28">
        <v>2</v>
      </c>
      <c r="I862" s="29">
        <v>827.7</v>
      </c>
      <c r="J862" s="29">
        <v>729.9</v>
      </c>
      <c r="K862" s="29">
        <v>729.9</v>
      </c>
      <c r="L862" s="30">
        <v>25</v>
      </c>
      <c r="M862" s="29">
        <f t="shared" si="208"/>
        <v>754058.43</v>
      </c>
      <c r="N862" s="29">
        <v>0</v>
      </c>
      <c r="O862" s="29">
        <v>0</v>
      </c>
      <c r="P862" s="29">
        <v>0</v>
      </c>
      <c r="Q862" s="29">
        <f>'Таблица 3 '!C852</f>
        <v>754058.43</v>
      </c>
      <c r="R862" s="29">
        <f t="shared" si="209"/>
        <v>754058.43</v>
      </c>
      <c r="S862" s="29">
        <v>0</v>
      </c>
      <c r="T862" s="29">
        <f t="shared" si="203"/>
        <v>1033.0982737361282</v>
      </c>
      <c r="U862" s="29">
        <f t="shared" si="205"/>
        <v>1033.0982737361282</v>
      </c>
      <c r="V862" s="33" t="s">
        <v>753</v>
      </c>
      <c r="W862" s="44"/>
    </row>
    <row r="863" spans="1:23" s="44" customFormat="1" ht="45.75" customHeight="1" x14ac:dyDescent="0.25">
      <c r="A863" s="25">
        <v>5</v>
      </c>
      <c r="B863" s="37" t="s">
        <v>760</v>
      </c>
      <c r="C863" s="25" t="s">
        <v>43</v>
      </c>
      <c r="D863" s="25">
        <v>1955</v>
      </c>
      <c r="E863" s="27" t="s">
        <v>39</v>
      </c>
      <c r="F863" s="25" t="s">
        <v>77</v>
      </c>
      <c r="G863" s="28">
        <v>2</v>
      </c>
      <c r="H863" s="28">
        <v>2</v>
      </c>
      <c r="I863" s="29">
        <v>444.5</v>
      </c>
      <c r="J863" s="29">
        <v>397.42</v>
      </c>
      <c r="K863" s="29">
        <v>397.42</v>
      </c>
      <c r="L863" s="30">
        <v>16</v>
      </c>
      <c r="M863" s="29">
        <f t="shared" si="208"/>
        <v>3923788.19</v>
      </c>
      <c r="N863" s="29">
        <v>0</v>
      </c>
      <c r="O863" s="29">
        <v>0</v>
      </c>
      <c r="P863" s="29">
        <v>0</v>
      </c>
      <c r="Q863" s="29">
        <f>'Таблица 3 '!C853</f>
        <v>3923788.19</v>
      </c>
      <c r="R863" s="29">
        <f t="shared" si="209"/>
        <v>3923788.19</v>
      </c>
      <c r="S863" s="29">
        <v>0</v>
      </c>
      <c r="T863" s="29">
        <f t="shared" si="203"/>
        <v>9873.1523073826174</v>
      </c>
      <c r="U863" s="29">
        <f t="shared" si="205"/>
        <v>9873.1523073826174</v>
      </c>
      <c r="V863" s="33" t="s">
        <v>753</v>
      </c>
    </row>
    <row r="864" spans="1:23" s="44" customFormat="1" ht="45.75" customHeight="1" x14ac:dyDescent="0.25">
      <c r="A864" s="25">
        <v>6</v>
      </c>
      <c r="B864" s="37" t="s">
        <v>656</v>
      </c>
      <c r="C864" s="25" t="s">
        <v>43</v>
      </c>
      <c r="D864" s="25">
        <v>1975</v>
      </c>
      <c r="E864" s="27" t="s">
        <v>39</v>
      </c>
      <c r="F864" s="25" t="s">
        <v>77</v>
      </c>
      <c r="G864" s="28">
        <v>5</v>
      </c>
      <c r="H864" s="28">
        <v>4</v>
      </c>
      <c r="I864" s="29">
        <v>2751.9</v>
      </c>
      <c r="J864" s="29">
        <v>2683.11</v>
      </c>
      <c r="K864" s="29">
        <v>2497.11</v>
      </c>
      <c r="L864" s="30">
        <v>136</v>
      </c>
      <c r="M864" s="29">
        <f t="shared" si="208"/>
        <v>5135750.51</v>
      </c>
      <c r="N864" s="29">
        <v>0</v>
      </c>
      <c r="O864" s="29">
        <v>0</v>
      </c>
      <c r="P864" s="29">
        <v>0</v>
      </c>
      <c r="Q864" s="29">
        <f>'Таблица 3 '!C854</f>
        <v>5135750.51</v>
      </c>
      <c r="R864" s="29">
        <f t="shared" si="209"/>
        <v>5135750.51</v>
      </c>
      <c r="S864" s="29">
        <v>0</v>
      </c>
      <c r="T864" s="29">
        <f t="shared" si="203"/>
        <v>1914.1035999269502</v>
      </c>
      <c r="U864" s="29">
        <f t="shared" si="205"/>
        <v>1914.1035999269502</v>
      </c>
      <c r="V864" s="33" t="s">
        <v>753</v>
      </c>
    </row>
    <row r="865" spans="1:23" s="44" customFormat="1" ht="45.75" customHeight="1" x14ac:dyDescent="0.25">
      <c r="A865" s="25">
        <v>7</v>
      </c>
      <c r="B865" s="37" t="s">
        <v>342</v>
      </c>
      <c r="C865" s="25" t="s">
        <v>43</v>
      </c>
      <c r="D865" s="25">
        <v>1977</v>
      </c>
      <c r="E865" s="27" t="s">
        <v>39</v>
      </c>
      <c r="F865" s="25" t="s">
        <v>77</v>
      </c>
      <c r="G865" s="28">
        <v>2</v>
      </c>
      <c r="H865" s="28">
        <v>3</v>
      </c>
      <c r="I865" s="29">
        <v>885.9</v>
      </c>
      <c r="J865" s="29">
        <v>857.1</v>
      </c>
      <c r="K865" s="29">
        <v>857.1</v>
      </c>
      <c r="L865" s="30">
        <v>35</v>
      </c>
      <c r="M865" s="29">
        <f t="shared" si="208"/>
        <v>8155076.7599999998</v>
      </c>
      <c r="N865" s="29">
        <v>0</v>
      </c>
      <c r="O865" s="29">
        <v>0</v>
      </c>
      <c r="P865" s="29">
        <v>0</v>
      </c>
      <c r="Q865" s="29">
        <f>'Таблица 3 '!C855</f>
        <v>8155076.7599999998</v>
      </c>
      <c r="R865" s="29">
        <f t="shared" si="209"/>
        <v>8155076.7599999998</v>
      </c>
      <c r="S865" s="29">
        <v>0</v>
      </c>
      <c r="T865" s="29">
        <f t="shared" si="203"/>
        <v>9514.7319565978287</v>
      </c>
      <c r="U865" s="29">
        <f t="shared" si="205"/>
        <v>9514.7319565978287</v>
      </c>
      <c r="V865" s="33" t="s">
        <v>753</v>
      </c>
    </row>
    <row r="866" spans="1:23" s="44" customFormat="1" ht="45.75" customHeight="1" x14ac:dyDescent="0.25">
      <c r="A866" s="25">
        <v>8</v>
      </c>
      <c r="B866" s="37" t="s">
        <v>657</v>
      </c>
      <c r="C866" s="25" t="s">
        <v>43</v>
      </c>
      <c r="D866" s="25">
        <v>1988</v>
      </c>
      <c r="E866" s="27" t="s">
        <v>39</v>
      </c>
      <c r="F866" s="25" t="s">
        <v>77</v>
      </c>
      <c r="G866" s="28">
        <v>5</v>
      </c>
      <c r="H866" s="28">
        <v>8</v>
      </c>
      <c r="I866" s="29">
        <v>7760.4</v>
      </c>
      <c r="J866" s="29">
        <v>5417.33</v>
      </c>
      <c r="K866" s="29">
        <v>5255.03</v>
      </c>
      <c r="L866" s="30">
        <v>172</v>
      </c>
      <c r="M866" s="29">
        <f t="shared" si="208"/>
        <v>1731910.6500000001</v>
      </c>
      <c r="N866" s="29">
        <v>0</v>
      </c>
      <c r="O866" s="29">
        <v>0</v>
      </c>
      <c r="P866" s="29">
        <v>0</v>
      </c>
      <c r="Q866" s="29">
        <f>'Таблица 3 '!C856</f>
        <v>1731910.6500000001</v>
      </c>
      <c r="R866" s="29">
        <f t="shared" si="209"/>
        <v>1731910.6500000001</v>
      </c>
      <c r="S866" s="29">
        <v>0</v>
      </c>
      <c r="T866" s="29">
        <f t="shared" si="203"/>
        <v>319.69820003581106</v>
      </c>
      <c r="U866" s="29">
        <f t="shared" si="205"/>
        <v>319.69820003581106</v>
      </c>
      <c r="V866" s="33" t="s">
        <v>753</v>
      </c>
    </row>
    <row r="867" spans="1:23" s="44" customFormat="1" ht="45.75" customHeight="1" x14ac:dyDescent="0.25">
      <c r="A867" s="25">
        <v>9</v>
      </c>
      <c r="B867" s="37" t="s">
        <v>761</v>
      </c>
      <c r="C867" s="25" t="s">
        <v>43</v>
      </c>
      <c r="D867" s="25">
        <v>1997</v>
      </c>
      <c r="E867" s="27">
        <v>2019</v>
      </c>
      <c r="F867" s="25" t="s">
        <v>77</v>
      </c>
      <c r="G867" s="28">
        <v>5</v>
      </c>
      <c r="H867" s="28">
        <v>5</v>
      </c>
      <c r="I867" s="29">
        <v>6432.8</v>
      </c>
      <c r="J867" s="29">
        <v>6008.7</v>
      </c>
      <c r="K867" s="29">
        <v>5806.7</v>
      </c>
      <c r="L867" s="30">
        <v>263</v>
      </c>
      <c r="M867" s="29">
        <f t="shared" si="208"/>
        <v>9032022.2300000004</v>
      </c>
      <c r="N867" s="29">
        <v>0</v>
      </c>
      <c r="O867" s="29">
        <v>0</v>
      </c>
      <c r="P867" s="29">
        <v>0</v>
      </c>
      <c r="Q867" s="29">
        <f>'Таблица 3 '!C857</f>
        <v>9032022.2300000004</v>
      </c>
      <c r="R867" s="29">
        <f t="shared" si="209"/>
        <v>9032022.2300000004</v>
      </c>
      <c r="S867" s="29">
        <v>0</v>
      </c>
      <c r="T867" s="29">
        <f t="shared" si="203"/>
        <v>1503.1574600163099</v>
      </c>
      <c r="U867" s="29">
        <f t="shared" si="205"/>
        <v>1503.1574600163099</v>
      </c>
      <c r="V867" s="33" t="s">
        <v>753</v>
      </c>
    </row>
    <row r="868" spans="1:23" s="44" customFormat="1" ht="45.75" customHeight="1" x14ac:dyDescent="0.25">
      <c r="A868" s="25">
        <v>10</v>
      </c>
      <c r="B868" s="38" t="s">
        <v>762</v>
      </c>
      <c r="C868" s="25" t="s">
        <v>43</v>
      </c>
      <c r="D868" s="25">
        <v>1995</v>
      </c>
      <c r="E868" s="27" t="s">
        <v>39</v>
      </c>
      <c r="F868" s="25" t="s">
        <v>384</v>
      </c>
      <c r="G868" s="28">
        <v>5</v>
      </c>
      <c r="H868" s="28">
        <v>3</v>
      </c>
      <c r="I868" s="29">
        <v>3561.5</v>
      </c>
      <c r="J868" s="29">
        <v>3222.1</v>
      </c>
      <c r="K868" s="29">
        <v>2959.5</v>
      </c>
      <c r="L868" s="30">
        <v>172</v>
      </c>
      <c r="M868" s="29">
        <f t="shared" si="208"/>
        <v>8585330.9400000013</v>
      </c>
      <c r="N868" s="29">
        <v>0</v>
      </c>
      <c r="O868" s="29">
        <v>0</v>
      </c>
      <c r="P868" s="29">
        <v>0</v>
      </c>
      <c r="Q868" s="29">
        <f>'Таблица 3 '!C858</f>
        <v>8585330.9400000013</v>
      </c>
      <c r="R868" s="29">
        <f t="shared" si="209"/>
        <v>8585330.9400000013</v>
      </c>
      <c r="S868" s="29">
        <v>0</v>
      </c>
      <c r="T868" s="29">
        <f t="shared" si="203"/>
        <v>2664.5141181217223</v>
      </c>
      <c r="U868" s="29">
        <f t="shared" si="205"/>
        <v>2664.5141181217223</v>
      </c>
      <c r="V868" s="33" t="s">
        <v>753</v>
      </c>
    </row>
    <row r="869" spans="1:23" s="44" customFormat="1" ht="45.75" customHeight="1" x14ac:dyDescent="0.25">
      <c r="A869" s="25">
        <v>11</v>
      </c>
      <c r="B869" s="38" t="s">
        <v>763</v>
      </c>
      <c r="C869" s="25" t="s">
        <v>43</v>
      </c>
      <c r="D869" s="25">
        <v>1966</v>
      </c>
      <c r="E869" s="27" t="s">
        <v>39</v>
      </c>
      <c r="F869" s="25" t="s">
        <v>77</v>
      </c>
      <c r="G869" s="28">
        <v>4</v>
      </c>
      <c r="H869" s="28">
        <v>3</v>
      </c>
      <c r="I869" s="29">
        <v>2225.1</v>
      </c>
      <c r="J869" s="29">
        <v>1859.1</v>
      </c>
      <c r="K869" s="29">
        <v>1719.3</v>
      </c>
      <c r="L869" s="30">
        <v>172</v>
      </c>
      <c r="M869" s="29">
        <f t="shared" si="208"/>
        <v>10230279.300000001</v>
      </c>
      <c r="N869" s="29">
        <v>0</v>
      </c>
      <c r="O869" s="29">
        <v>0</v>
      </c>
      <c r="P869" s="29">
        <v>0</v>
      </c>
      <c r="Q869" s="29">
        <f>'Таблица 3 '!C859</f>
        <v>10230279.300000001</v>
      </c>
      <c r="R869" s="29">
        <f t="shared" si="209"/>
        <v>10230279.300000001</v>
      </c>
      <c r="S869" s="29">
        <v>0</v>
      </c>
      <c r="T869" s="29">
        <f t="shared" si="203"/>
        <v>5502.8128126512838</v>
      </c>
      <c r="U869" s="29">
        <f t="shared" si="205"/>
        <v>5502.8128126512838</v>
      </c>
      <c r="V869" s="33" t="s">
        <v>753</v>
      </c>
    </row>
    <row r="870" spans="1:23" s="44" customFormat="1" ht="45.75" customHeight="1" x14ac:dyDescent="0.25">
      <c r="A870" s="25">
        <v>12</v>
      </c>
      <c r="B870" s="38" t="s">
        <v>764</v>
      </c>
      <c r="C870" s="25" t="s">
        <v>43</v>
      </c>
      <c r="D870" s="25">
        <v>1990</v>
      </c>
      <c r="E870" s="27" t="s">
        <v>39</v>
      </c>
      <c r="F870" s="25" t="s">
        <v>384</v>
      </c>
      <c r="G870" s="28">
        <v>5</v>
      </c>
      <c r="H870" s="28">
        <v>6</v>
      </c>
      <c r="I870" s="29">
        <v>5334.1</v>
      </c>
      <c r="J870" s="29">
        <v>4543.2</v>
      </c>
      <c r="K870" s="29">
        <v>4174.1000000000004</v>
      </c>
      <c r="L870" s="30">
        <v>230</v>
      </c>
      <c r="M870" s="29">
        <f t="shared" si="208"/>
        <v>1264545.6199999999</v>
      </c>
      <c r="N870" s="29">
        <v>0</v>
      </c>
      <c r="O870" s="29">
        <v>0</v>
      </c>
      <c r="P870" s="29">
        <v>0</v>
      </c>
      <c r="Q870" s="29">
        <f>'Таблица 3 '!C860</f>
        <v>1264545.6199999999</v>
      </c>
      <c r="R870" s="29">
        <f t="shared" si="209"/>
        <v>1264545.6199999999</v>
      </c>
      <c r="S870" s="29">
        <v>0</v>
      </c>
      <c r="T870" s="29">
        <f t="shared" si="203"/>
        <v>278.33809209367843</v>
      </c>
      <c r="U870" s="29">
        <f t="shared" si="205"/>
        <v>278.33809209367843</v>
      </c>
      <c r="V870" s="33" t="s">
        <v>753</v>
      </c>
    </row>
    <row r="871" spans="1:23" s="44" customFormat="1" ht="45.75" customHeight="1" x14ac:dyDescent="0.25">
      <c r="A871" s="25">
        <v>13</v>
      </c>
      <c r="B871" s="37" t="s">
        <v>347</v>
      </c>
      <c r="C871" s="65" t="s">
        <v>43</v>
      </c>
      <c r="D871" s="25">
        <v>1968</v>
      </c>
      <c r="E871" s="27" t="s">
        <v>40</v>
      </c>
      <c r="F871" s="25" t="s">
        <v>77</v>
      </c>
      <c r="G871" s="28">
        <v>2</v>
      </c>
      <c r="H871" s="28">
        <v>2</v>
      </c>
      <c r="I871" s="32">
        <v>680.6</v>
      </c>
      <c r="J871" s="32">
        <v>637.6</v>
      </c>
      <c r="K871" s="32">
        <v>339.1</v>
      </c>
      <c r="L871" s="35">
        <v>22</v>
      </c>
      <c r="M871" s="29">
        <f t="shared" si="208"/>
        <v>2616925.8400000003</v>
      </c>
      <c r="N871" s="29">
        <v>0</v>
      </c>
      <c r="O871" s="29">
        <v>0</v>
      </c>
      <c r="P871" s="29">
        <v>0</v>
      </c>
      <c r="Q871" s="29">
        <f>'Таблица 3 '!C861</f>
        <v>2616925.8400000003</v>
      </c>
      <c r="R871" s="29">
        <f t="shared" si="209"/>
        <v>2616925.8400000003</v>
      </c>
      <c r="S871" s="29">
        <v>0</v>
      </c>
      <c r="T871" s="29">
        <f t="shared" si="203"/>
        <v>4104.3378920953583</v>
      </c>
      <c r="U871" s="29">
        <f t="shared" si="205"/>
        <v>4104.3378920953583</v>
      </c>
      <c r="V871" s="33" t="s">
        <v>753</v>
      </c>
    </row>
    <row r="872" spans="1:23" s="44" customFormat="1" ht="45.75" customHeight="1" x14ac:dyDescent="0.25">
      <c r="A872" s="25">
        <v>14</v>
      </c>
      <c r="B872" s="38" t="s">
        <v>765</v>
      </c>
      <c r="C872" s="25" t="s">
        <v>43</v>
      </c>
      <c r="D872" s="25">
        <v>1984</v>
      </c>
      <c r="E872" s="27" t="s">
        <v>39</v>
      </c>
      <c r="F872" s="25" t="s">
        <v>77</v>
      </c>
      <c r="G872" s="28">
        <v>5</v>
      </c>
      <c r="H872" s="28">
        <v>2</v>
      </c>
      <c r="I872" s="29">
        <v>982.7</v>
      </c>
      <c r="J872" s="29">
        <v>817.2</v>
      </c>
      <c r="K872" s="29">
        <v>817.2</v>
      </c>
      <c r="L872" s="30">
        <v>44</v>
      </c>
      <c r="M872" s="29">
        <f t="shared" si="208"/>
        <v>514815.55000000005</v>
      </c>
      <c r="N872" s="29">
        <v>0</v>
      </c>
      <c r="O872" s="29">
        <v>0</v>
      </c>
      <c r="P872" s="29">
        <v>0</v>
      </c>
      <c r="Q872" s="29">
        <f>'Таблица 3 '!C862</f>
        <v>514815.55000000005</v>
      </c>
      <c r="R872" s="29">
        <f t="shared" si="209"/>
        <v>514815.55000000005</v>
      </c>
      <c r="S872" s="29">
        <v>0</v>
      </c>
      <c r="T872" s="29">
        <f t="shared" si="203"/>
        <v>629.974975526187</v>
      </c>
      <c r="U872" s="29">
        <f t="shared" si="205"/>
        <v>629.974975526187</v>
      </c>
      <c r="V872" s="33" t="s">
        <v>753</v>
      </c>
    </row>
    <row r="873" spans="1:23" s="44" customFormat="1" ht="45.75" customHeight="1" x14ac:dyDescent="0.25">
      <c r="A873" s="25">
        <v>15</v>
      </c>
      <c r="B873" s="37" t="s">
        <v>766</v>
      </c>
      <c r="C873" s="65" t="s">
        <v>43</v>
      </c>
      <c r="D873" s="25">
        <v>1982</v>
      </c>
      <c r="E873" s="27" t="s">
        <v>40</v>
      </c>
      <c r="F873" s="25" t="s">
        <v>77</v>
      </c>
      <c r="G873" s="28">
        <v>2</v>
      </c>
      <c r="H873" s="28">
        <v>2</v>
      </c>
      <c r="I873" s="32">
        <v>1088.7</v>
      </c>
      <c r="J873" s="32">
        <v>899.2</v>
      </c>
      <c r="K873" s="32">
        <v>788.7</v>
      </c>
      <c r="L873" s="35">
        <v>39</v>
      </c>
      <c r="M873" s="29">
        <f t="shared" si="208"/>
        <v>826533.6</v>
      </c>
      <c r="N873" s="29">
        <v>0</v>
      </c>
      <c r="O873" s="29">
        <v>0</v>
      </c>
      <c r="P873" s="29">
        <v>0</v>
      </c>
      <c r="Q873" s="29">
        <f>'Таблица 3 '!C863</f>
        <v>826533.6</v>
      </c>
      <c r="R873" s="29">
        <f t="shared" si="209"/>
        <v>826533.6</v>
      </c>
      <c r="S873" s="29">
        <v>0</v>
      </c>
      <c r="T873" s="29">
        <f t="shared" si="203"/>
        <v>919.18772241992872</v>
      </c>
      <c r="U873" s="29">
        <f t="shared" si="205"/>
        <v>919.18772241992872</v>
      </c>
      <c r="V873" s="33" t="s">
        <v>753</v>
      </c>
    </row>
    <row r="874" spans="1:23" s="44" customFormat="1" ht="45.75" customHeight="1" x14ac:dyDescent="0.25">
      <c r="A874" s="25">
        <v>16</v>
      </c>
      <c r="B874" s="37" t="s">
        <v>767</v>
      </c>
      <c r="C874" s="25" t="s">
        <v>43</v>
      </c>
      <c r="D874" s="25">
        <v>1985</v>
      </c>
      <c r="E874" s="27" t="s">
        <v>39</v>
      </c>
      <c r="F874" s="25" t="s">
        <v>77</v>
      </c>
      <c r="G874" s="28">
        <v>2</v>
      </c>
      <c r="H874" s="28">
        <v>2</v>
      </c>
      <c r="I874" s="29">
        <v>1008.7</v>
      </c>
      <c r="J874" s="29">
        <v>927.9</v>
      </c>
      <c r="K874" s="29">
        <v>765</v>
      </c>
      <c r="L874" s="30">
        <v>40</v>
      </c>
      <c r="M874" s="29">
        <f t="shared" si="208"/>
        <v>303809.98</v>
      </c>
      <c r="N874" s="29">
        <v>0</v>
      </c>
      <c r="O874" s="29">
        <v>0</v>
      </c>
      <c r="P874" s="29">
        <v>0</v>
      </c>
      <c r="Q874" s="29">
        <f>'Таблица 3 '!C864</f>
        <v>303809.98</v>
      </c>
      <c r="R874" s="29">
        <f t="shared" si="209"/>
        <v>303809.98</v>
      </c>
      <c r="S874" s="29">
        <v>0</v>
      </c>
      <c r="T874" s="29">
        <f t="shared" si="203"/>
        <v>327.41672594029529</v>
      </c>
      <c r="U874" s="29">
        <f t="shared" si="205"/>
        <v>327.41672594029529</v>
      </c>
      <c r="V874" s="33" t="s">
        <v>753</v>
      </c>
    </row>
    <row r="875" spans="1:23" s="44" customFormat="1" ht="27" customHeight="1" x14ac:dyDescent="0.25">
      <c r="A875" s="322" t="s">
        <v>349</v>
      </c>
      <c r="B875" s="322"/>
      <c r="C875" s="18" t="s">
        <v>39</v>
      </c>
      <c r="D875" s="18" t="s">
        <v>39</v>
      </c>
      <c r="E875" s="19" t="s">
        <v>39</v>
      </c>
      <c r="F875" s="18" t="s">
        <v>39</v>
      </c>
      <c r="G875" s="20" t="s">
        <v>39</v>
      </c>
      <c r="H875" s="20" t="s">
        <v>39</v>
      </c>
      <c r="I875" s="21">
        <f t="shared" ref="I875:S875" si="210">I876</f>
        <v>767</v>
      </c>
      <c r="J875" s="21">
        <f t="shared" si="210"/>
        <v>710.6</v>
      </c>
      <c r="K875" s="21">
        <f t="shared" si="210"/>
        <v>710.6</v>
      </c>
      <c r="L875" s="22">
        <f t="shared" si="210"/>
        <v>45</v>
      </c>
      <c r="M875" s="21">
        <f t="shared" si="210"/>
        <v>6418309.8899999997</v>
      </c>
      <c r="N875" s="21">
        <f t="shared" si="210"/>
        <v>0</v>
      </c>
      <c r="O875" s="21">
        <f t="shared" si="210"/>
        <v>0</v>
      </c>
      <c r="P875" s="21">
        <f t="shared" si="210"/>
        <v>0</v>
      </c>
      <c r="Q875" s="21">
        <f t="shared" si="210"/>
        <v>6418309.8899999997</v>
      </c>
      <c r="R875" s="21">
        <f t="shared" si="210"/>
        <v>6418309.8899999997</v>
      </c>
      <c r="S875" s="21">
        <f t="shared" si="210"/>
        <v>0</v>
      </c>
      <c r="T875" s="24" t="s">
        <v>39</v>
      </c>
      <c r="U875" s="24" t="s">
        <v>39</v>
      </c>
      <c r="V875" s="59" t="s">
        <v>39</v>
      </c>
    </row>
    <row r="876" spans="1:23" s="44" customFormat="1" ht="45.75" customHeight="1" x14ac:dyDescent="0.25">
      <c r="A876" s="25">
        <v>1</v>
      </c>
      <c r="B876" s="37" t="s">
        <v>768</v>
      </c>
      <c r="C876" s="25" t="s">
        <v>43</v>
      </c>
      <c r="D876" s="25">
        <v>1974</v>
      </c>
      <c r="E876" s="27" t="s">
        <v>39</v>
      </c>
      <c r="F876" s="25" t="s">
        <v>77</v>
      </c>
      <c r="G876" s="28">
        <v>2</v>
      </c>
      <c r="H876" s="28">
        <v>2</v>
      </c>
      <c r="I876" s="29">
        <v>767</v>
      </c>
      <c r="J876" s="29">
        <v>710.6</v>
      </c>
      <c r="K876" s="29">
        <v>710.6</v>
      </c>
      <c r="L876" s="30">
        <v>45</v>
      </c>
      <c r="M876" s="29">
        <f>SUM(N876:Q876)</f>
        <v>6418309.8899999997</v>
      </c>
      <c r="N876" s="29">
        <v>0</v>
      </c>
      <c r="O876" s="29">
        <v>0</v>
      </c>
      <c r="P876" s="29">
        <v>0</v>
      </c>
      <c r="Q876" s="29">
        <f>'Таблица 3 '!C866</f>
        <v>6418309.8899999997</v>
      </c>
      <c r="R876" s="29">
        <f>Q876</f>
        <v>6418309.8899999997</v>
      </c>
      <c r="S876" s="29">
        <v>0</v>
      </c>
      <c r="T876" s="29">
        <f t="shared" si="203"/>
        <v>9032.2402054601735</v>
      </c>
      <c r="U876" s="29">
        <f t="shared" si="205"/>
        <v>9032.2402054601735</v>
      </c>
      <c r="V876" s="68" t="s">
        <v>753</v>
      </c>
    </row>
    <row r="877" spans="1:23" s="23" customFormat="1" ht="25.15" customHeight="1" x14ac:dyDescent="0.2">
      <c r="A877" s="322" t="s">
        <v>360</v>
      </c>
      <c r="B877" s="322"/>
      <c r="C877" s="20" t="s">
        <v>39</v>
      </c>
      <c r="D877" s="20" t="s">
        <v>39</v>
      </c>
      <c r="E877" s="62" t="s">
        <v>39</v>
      </c>
      <c r="F877" s="20" t="s">
        <v>39</v>
      </c>
      <c r="G877" s="20" t="s">
        <v>39</v>
      </c>
      <c r="H877" s="20" t="s">
        <v>39</v>
      </c>
      <c r="I877" s="60">
        <f t="shared" ref="I877:S877" si="211">SUM(I878:I885)</f>
        <v>28034.3</v>
      </c>
      <c r="J877" s="60">
        <f t="shared" si="211"/>
        <v>21282.599999999995</v>
      </c>
      <c r="K877" s="60">
        <f t="shared" si="211"/>
        <v>20405.899999999998</v>
      </c>
      <c r="L877" s="61">
        <f t="shared" si="211"/>
        <v>652</v>
      </c>
      <c r="M877" s="60">
        <f t="shared" si="211"/>
        <v>82973909.859999999</v>
      </c>
      <c r="N877" s="60">
        <f t="shared" si="211"/>
        <v>0</v>
      </c>
      <c r="O877" s="60">
        <f t="shared" si="211"/>
        <v>0</v>
      </c>
      <c r="P877" s="60">
        <f t="shared" si="211"/>
        <v>0</v>
      </c>
      <c r="Q877" s="60">
        <f t="shared" si="211"/>
        <v>82973909.859999999</v>
      </c>
      <c r="R877" s="60">
        <f t="shared" si="211"/>
        <v>82973909.859999999</v>
      </c>
      <c r="S877" s="60">
        <f t="shared" si="211"/>
        <v>0</v>
      </c>
      <c r="T877" s="24" t="s">
        <v>39</v>
      </c>
      <c r="U877" s="24" t="s">
        <v>39</v>
      </c>
      <c r="V877" s="62" t="s">
        <v>39</v>
      </c>
    </row>
    <row r="878" spans="1:23" s="23" customFormat="1" ht="45" customHeight="1" x14ac:dyDescent="0.25">
      <c r="A878" s="25">
        <v>1</v>
      </c>
      <c r="B878" s="37" t="s">
        <v>769</v>
      </c>
      <c r="C878" s="25" t="s">
        <v>43</v>
      </c>
      <c r="D878" s="25" t="s">
        <v>104</v>
      </c>
      <c r="E878" s="27" t="s">
        <v>770</v>
      </c>
      <c r="F878" s="25" t="s">
        <v>48</v>
      </c>
      <c r="G878" s="28">
        <v>5</v>
      </c>
      <c r="H878" s="28">
        <v>4</v>
      </c>
      <c r="I878" s="32">
        <v>6099</v>
      </c>
      <c r="J878" s="32">
        <v>4558.6999999999989</v>
      </c>
      <c r="K878" s="32">
        <v>4367.8999999999996</v>
      </c>
      <c r="L878" s="35">
        <v>120</v>
      </c>
      <c r="M878" s="29">
        <f t="shared" ref="M878:M885" si="212">SUM(N878:Q878)</f>
        <v>10872246.24</v>
      </c>
      <c r="N878" s="29">
        <v>0</v>
      </c>
      <c r="O878" s="29">
        <v>0</v>
      </c>
      <c r="P878" s="29">
        <v>0</v>
      </c>
      <c r="Q878" s="29">
        <f>'Таблица 3 '!C868</f>
        <v>10872246.24</v>
      </c>
      <c r="R878" s="29">
        <f t="shared" ref="R878:R885" si="213">Q878</f>
        <v>10872246.24</v>
      </c>
      <c r="S878" s="29">
        <v>0</v>
      </c>
      <c r="T878" s="29">
        <f t="shared" si="203"/>
        <v>2384.9444446881794</v>
      </c>
      <c r="U878" s="29">
        <f t="shared" si="205"/>
        <v>2384.9444446881794</v>
      </c>
      <c r="V878" s="33" t="s">
        <v>753</v>
      </c>
      <c r="W878" s="44"/>
    </row>
    <row r="879" spans="1:23" s="23" customFormat="1" ht="45" customHeight="1" x14ac:dyDescent="0.25">
      <c r="A879" s="25">
        <v>2</v>
      </c>
      <c r="B879" s="38" t="s">
        <v>771</v>
      </c>
      <c r="C879" s="25" t="s">
        <v>43</v>
      </c>
      <c r="D879" s="25">
        <v>1989</v>
      </c>
      <c r="E879" s="27" t="s">
        <v>39</v>
      </c>
      <c r="F879" s="25" t="s">
        <v>48</v>
      </c>
      <c r="G879" s="28">
        <v>5</v>
      </c>
      <c r="H879" s="28">
        <v>5</v>
      </c>
      <c r="I879" s="32">
        <v>6976</v>
      </c>
      <c r="J879" s="32">
        <v>5325.2</v>
      </c>
      <c r="K879" s="32">
        <v>5173</v>
      </c>
      <c r="L879" s="35">
        <v>120</v>
      </c>
      <c r="M879" s="29">
        <f t="shared" si="212"/>
        <v>29941857.989999998</v>
      </c>
      <c r="N879" s="29">
        <v>0</v>
      </c>
      <c r="O879" s="29">
        <v>0</v>
      </c>
      <c r="P879" s="29">
        <v>0</v>
      </c>
      <c r="Q879" s="29">
        <f>'Таблица 3 '!C869</f>
        <v>29941857.989999998</v>
      </c>
      <c r="R879" s="29">
        <f t="shared" si="213"/>
        <v>29941857.989999998</v>
      </c>
      <c r="S879" s="29">
        <v>0</v>
      </c>
      <c r="T879" s="29">
        <f t="shared" si="203"/>
        <v>5622.6729493727935</v>
      </c>
      <c r="U879" s="29">
        <f t="shared" si="205"/>
        <v>5622.6729493727935</v>
      </c>
      <c r="V879" s="33" t="s">
        <v>753</v>
      </c>
      <c r="W879" s="44"/>
    </row>
    <row r="880" spans="1:23" s="44" customFormat="1" ht="45.6" customHeight="1" x14ac:dyDescent="0.25">
      <c r="A880" s="25">
        <v>3</v>
      </c>
      <c r="B880" s="71" t="s">
        <v>361</v>
      </c>
      <c r="C880" s="25" t="s">
        <v>43</v>
      </c>
      <c r="D880" s="25">
        <v>1989</v>
      </c>
      <c r="E880" s="27" t="s">
        <v>40</v>
      </c>
      <c r="F880" s="25" t="s">
        <v>48</v>
      </c>
      <c r="G880" s="28">
        <v>5</v>
      </c>
      <c r="H880" s="28">
        <v>3</v>
      </c>
      <c r="I880" s="29">
        <v>3689</v>
      </c>
      <c r="J880" s="29">
        <v>3331.5</v>
      </c>
      <c r="K880" s="29">
        <v>3308</v>
      </c>
      <c r="L880" s="30">
        <v>105</v>
      </c>
      <c r="M880" s="29">
        <f t="shared" si="212"/>
        <v>7897247.75</v>
      </c>
      <c r="N880" s="29">
        <v>0</v>
      </c>
      <c r="O880" s="29">
        <v>0</v>
      </c>
      <c r="P880" s="29">
        <v>0</v>
      </c>
      <c r="Q880" s="29">
        <f>'Таблица 3 '!C870</f>
        <v>7897247.75</v>
      </c>
      <c r="R880" s="29">
        <f t="shared" si="213"/>
        <v>7897247.75</v>
      </c>
      <c r="S880" s="29">
        <v>0</v>
      </c>
      <c r="T880" s="29">
        <f t="shared" si="203"/>
        <v>2370.4780879483715</v>
      </c>
      <c r="U880" s="29">
        <f t="shared" si="205"/>
        <v>2370.4780879483715</v>
      </c>
      <c r="V880" s="33" t="s">
        <v>753</v>
      </c>
    </row>
    <row r="881" spans="1:23" s="44" customFormat="1" ht="45.6" customHeight="1" x14ac:dyDescent="0.25">
      <c r="A881" s="25">
        <v>4</v>
      </c>
      <c r="B881" s="64" t="s">
        <v>772</v>
      </c>
      <c r="C881" s="25" t="s">
        <v>43</v>
      </c>
      <c r="D881" s="25" t="s">
        <v>104</v>
      </c>
      <c r="E881" s="27">
        <v>2021</v>
      </c>
      <c r="F881" s="25" t="s">
        <v>48</v>
      </c>
      <c r="G881" s="28">
        <v>5</v>
      </c>
      <c r="H881" s="28">
        <v>1</v>
      </c>
      <c r="I881" s="32">
        <v>2217</v>
      </c>
      <c r="J881" s="32">
        <v>1160.8999999999999</v>
      </c>
      <c r="K881" s="32">
        <v>1160.9000000000001</v>
      </c>
      <c r="L881" s="35">
        <v>31</v>
      </c>
      <c r="M881" s="29">
        <f t="shared" si="212"/>
        <v>598310.87</v>
      </c>
      <c r="N881" s="29">
        <v>0</v>
      </c>
      <c r="O881" s="29">
        <v>0</v>
      </c>
      <c r="P881" s="29">
        <v>0</v>
      </c>
      <c r="Q881" s="29">
        <f>'Таблица 3 '!C871</f>
        <v>598310.87</v>
      </c>
      <c r="R881" s="29">
        <f t="shared" si="213"/>
        <v>598310.87</v>
      </c>
      <c r="S881" s="29">
        <v>0</v>
      </c>
      <c r="T881" s="29">
        <f t="shared" si="203"/>
        <v>515.38536480316998</v>
      </c>
      <c r="U881" s="29">
        <f t="shared" si="205"/>
        <v>515.38536480316998</v>
      </c>
      <c r="V881" s="33" t="s">
        <v>753</v>
      </c>
    </row>
    <row r="882" spans="1:23" s="44" customFormat="1" ht="45.6" customHeight="1" x14ac:dyDescent="0.25">
      <c r="A882" s="25">
        <v>5</v>
      </c>
      <c r="B882" s="64" t="s">
        <v>773</v>
      </c>
      <c r="C882" s="25" t="s">
        <v>43</v>
      </c>
      <c r="D882" s="25" t="s">
        <v>104</v>
      </c>
      <c r="E882" s="27">
        <v>2025</v>
      </c>
      <c r="F882" s="25" t="s">
        <v>48</v>
      </c>
      <c r="G882" s="28">
        <v>5</v>
      </c>
      <c r="H882" s="28">
        <v>5</v>
      </c>
      <c r="I882" s="32">
        <v>5834</v>
      </c>
      <c r="J882" s="32">
        <v>4312</v>
      </c>
      <c r="K882" s="32">
        <v>4051.5</v>
      </c>
      <c r="L882" s="35">
        <v>122</v>
      </c>
      <c r="M882" s="29">
        <f t="shared" si="212"/>
        <v>25492053.060000002</v>
      </c>
      <c r="N882" s="29">
        <v>0</v>
      </c>
      <c r="O882" s="29">
        <v>0</v>
      </c>
      <c r="P882" s="29">
        <v>0</v>
      </c>
      <c r="Q882" s="29">
        <f>'Таблица 3 '!C872</f>
        <v>25492053.060000002</v>
      </c>
      <c r="R882" s="29">
        <f t="shared" si="213"/>
        <v>25492053.060000002</v>
      </c>
      <c r="S882" s="29">
        <v>0</v>
      </c>
      <c r="T882" s="29">
        <f t="shared" si="203"/>
        <v>5911.8861456400746</v>
      </c>
      <c r="U882" s="29">
        <f t="shared" si="205"/>
        <v>5911.8861456400746</v>
      </c>
      <c r="V882" s="33" t="s">
        <v>753</v>
      </c>
    </row>
    <row r="883" spans="1:23" s="40" customFormat="1" ht="45.6" customHeight="1" x14ac:dyDescent="0.25">
      <c r="A883" s="25">
        <v>6</v>
      </c>
      <c r="B883" s="71" t="s">
        <v>774</v>
      </c>
      <c r="C883" s="25" t="s">
        <v>43</v>
      </c>
      <c r="D883" s="28">
        <v>1989</v>
      </c>
      <c r="E883" s="63" t="s">
        <v>39</v>
      </c>
      <c r="F883" s="25" t="s">
        <v>242</v>
      </c>
      <c r="G883" s="28">
        <v>2</v>
      </c>
      <c r="H883" s="28">
        <v>2</v>
      </c>
      <c r="I883" s="29">
        <v>485.2</v>
      </c>
      <c r="J883" s="29">
        <v>406.7</v>
      </c>
      <c r="K883" s="29">
        <v>339.6</v>
      </c>
      <c r="L883" s="30">
        <v>16</v>
      </c>
      <c r="M883" s="29">
        <f t="shared" si="212"/>
        <v>561209.97</v>
      </c>
      <c r="N883" s="29">
        <v>0</v>
      </c>
      <c r="O883" s="29">
        <v>0</v>
      </c>
      <c r="P883" s="29">
        <v>0</v>
      </c>
      <c r="Q883" s="29">
        <f>'Таблица 3 '!C873</f>
        <v>561209.97</v>
      </c>
      <c r="R883" s="29">
        <f t="shared" si="213"/>
        <v>561209.97</v>
      </c>
      <c r="S883" s="29">
        <v>0</v>
      </c>
      <c r="T883" s="29">
        <f t="shared" si="203"/>
        <v>1379.9114089009097</v>
      </c>
      <c r="U883" s="29">
        <f t="shared" si="205"/>
        <v>1379.9114089009097</v>
      </c>
      <c r="V883" s="33" t="s">
        <v>753</v>
      </c>
      <c r="W883" s="44"/>
    </row>
    <row r="884" spans="1:23" s="44" customFormat="1" ht="45.6" customHeight="1" x14ac:dyDescent="0.25">
      <c r="A884" s="25">
        <v>7</v>
      </c>
      <c r="B884" s="64" t="s">
        <v>775</v>
      </c>
      <c r="C884" s="25" t="s">
        <v>43</v>
      </c>
      <c r="D884" s="25" t="s">
        <v>91</v>
      </c>
      <c r="E884" s="27">
        <v>2025</v>
      </c>
      <c r="F884" s="25" t="s">
        <v>242</v>
      </c>
      <c r="G884" s="28">
        <v>2</v>
      </c>
      <c r="H884" s="28">
        <v>2</v>
      </c>
      <c r="I884" s="32">
        <v>486.6</v>
      </c>
      <c r="J884" s="32">
        <v>404.49999999999994</v>
      </c>
      <c r="K884" s="32">
        <v>368.8</v>
      </c>
      <c r="L884" s="35">
        <v>19</v>
      </c>
      <c r="M884" s="29">
        <f t="shared" si="212"/>
        <v>2405827.65</v>
      </c>
      <c r="N884" s="29">
        <v>0</v>
      </c>
      <c r="O884" s="29">
        <v>0</v>
      </c>
      <c r="P884" s="29">
        <v>0</v>
      </c>
      <c r="Q884" s="29">
        <f>'Таблица 3 '!C874</f>
        <v>2405827.65</v>
      </c>
      <c r="R884" s="29">
        <f t="shared" si="213"/>
        <v>2405827.65</v>
      </c>
      <c r="S884" s="29">
        <v>0</v>
      </c>
      <c r="T884" s="29">
        <f t="shared" si="203"/>
        <v>5947.6579728059342</v>
      </c>
      <c r="U884" s="29">
        <f t="shared" si="205"/>
        <v>5947.6579728059342</v>
      </c>
      <c r="V884" s="33" t="s">
        <v>753</v>
      </c>
    </row>
    <row r="885" spans="1:23" s="44" customFormat="1" ht="45.6" customHeight="1" x14ac:dyDescent="0.25">
      <c r="A885" s="25">
        <v>8</v>
      </c>
      <c r="B885" s="71" t="s">
        <v>776</v>
      </c>
      <c r="C885" s="25" t="s">
        <v>43</v>
      </c>
      <c r="D885" s="28">
        <v>1990</v>
      </c>
      <c r="E885" s="63" t="s">
        <v>39</v>
      </c>
      <c r="F885" s="25" t="s">
        <v>48</v>
      </c>
      <c r="G885" s="28">
        <v>4</v>
      </c>
      <c r="H885" s="28">
        <v>4</v>
      </c>
      <c r="I885" s="29">
        <v>2247.5</v>
      </c>
      <c r="J885" s="29">
        <v>1783.1</v>
      </c>
      <c r="K885" s="29">
        <v>1636.2</v>
      </c>
      <c r="L885" s="30">
        <v>119</v>
      </c>
      <c r="M885" s="29">
        <f t="shared" si="212"/>
        <v>5205156.33</v>
      </c>
      <c r="N885" s="29">
        <v>0</v>
      </c>
      <c r="O885" s="29">
        <v>0</v>
      </c>
      <c r="P885" s="29">
        <v>0</v>
      </c>
      <c r="Q885" s="29">
        <f>'Таблица 3 '!C875</f>
        <v>5205156.33</v>
      </c>
      <c r="R885" s="29">
        <f t="shared" si="213"/>
        <v>5205156.33</v>
      </c>
      <c r="S885" s="29">
        <v>0</v>
      </c>
      <c r="T885" s="29">
        <f t="shared" si="203"/>
        <v>2919.161196792104</v>
      </c>
      <c r="U885" s="29">
        <f t="shared" si="205"/>
        <v>2919.161196792104</v>
      </c>
      <c r="V885" s="33" t="s">
        <v>753</v>
      </c>
    </row>
    <row r="886" spans="1:23" s="44" customFormat="1" ht="24.75" customHeight="1" x14ac:dyDescent="0.25">
      <c r="A886" s="326" t="s">
        <v>666</v>
      </c>
      <c r="B886" s="326"/>
      <c r="C886" s="18" t="s">
        <v>39</v>
      </c>
      <c r="D886" s="18" t="s">
        <v>39</v>
      </c>
      <c r="E886" s="19" t="s">
        <v>39</v>
      </c>
      <c r="F886" s="18" t="s">
        <v>39</v>
      </c>
      <c r="G886" s="20" t="s">
        <v>39</v>
      </c>
      <c r="H886" s="20" t="s">
        <v>39</v>
      </c>
      <c r="I886" s="115">
        <f t="shared" ref="I886:S886" si="214">I887</f>
        <v>402</v>
      </c>
      <c r="J886" s="115">
        <f t="shared" si="214"/>
        <v>355</v>
      </c>
      <c r="K886" s="115">
        <f t="shared" si="214"/>
        <v>303.89999999999998</v>
      </c>
      <c r="L886" s="116">
        <f t="shared" si="214"/>
        <v>18</v>
      </c>
      <c r="M886" s="115">
        <f t="shared" si="214"/>
        <v>671818.54999999993</v>
      </c>
      <c r="N886" s="115">
        <f t="shared" si="214"/>
        <v>0</v>
      </c>
      <c r="O886" s="115">
        <f t="shared" si="214"/>
        <v>0</v>
      </c>
      <c r="P886" s="115">
        <f t="shared" si="214"/>
        <v>0</v>
      </c>
      <c r="Q886" s="115">
        <f t="shared" si="214"/>
        <v>671818.54999999993</v>
      </c>
      <c r="R886" s="115">
        <f t="shared" si="214"/>
        <v>671818.54999999993</v>
      </c>
      <c r="S886" s="115">
        <f t="shared" si="214"/>
        <v>0</v>
      </c>
      <c r="T886" s="24" t="s">
        <v>39</v>
      </c>
      <c r="U886" s="24" t="s">
        <v>39</v>
      </c>
      <c r="V886" s="20" t="s">
        <v>39</v>
      </c>
      <c r="W886" s="23"/>
    </row>
    <row r="887" spans="1:23" s="44" customFormat="1" ht="45.6" customHeight="1" x14ac:dyDescent="0.25">
      <c r="A887" s="25">
        <v>1</v>
      </c>
      <c r="B887" s="26" t="s">
        <v>777</v>
      </c>
      <c r="C887" s="25" t="s">
        <v>43</v>
      </c>
      <c r="D887" s="27" t="s">
        <v>366</v>
      </c>
      <c r="E887" s="27" t="s">
        <v>39</v>
      </c>
      <c r="F887" s="25" t="s">
        <v>77</v>
      </c>
      <c r="G887" s="28">
        <v>2</v>
      </c>
      <c r="H887" s="28">
        <v>2</v>
      </c>
      <c r="I887" s="75">
        <v>402</v>
      </c>
      <c r="J887" s="75">
        <v>355</v>
      </c>
      <c r="K887" s="75">
        <v>303.89999999999998</v>
      </c>
      <c r="L887" s="43">
        <v>18</v>
      </c>
      <c r="M887" s="31">
        <f>SUM(N887:Q887)</f>
        <v>671818.54999999993</v>
      </c>
      <c r="N887" s="75">
        <f>SUM(N888:N931)</f>
        <v>0</v>
      </c>
      <c r="O887" s="75">
        <f>SUM(O888:O931)</f>
        <v>0</v>
      </c>
      <c r="P887" s="75">
        <f>SUM(P888:P931)</f>
        <v>0</v>
      </c>
      <c r="Q887" s="29">
        <f>'Таблица 3 '!C877</f>
        <v>671818.54999999993</v>
      </c>
      <c r="R887" s="75">
        <f>Q887</f>
        <v>671818.54999999993</v>
      </c>
      <c r="S887" s="75">
        <f>SUM(S888:S931)</f>
        <v>0</v>
      </c>
      <c r="T887" s="32">
        <f t="shared" si="203"/>
        <v>1892.4466197183096</v>
      </c>
      <c r="U887" s="32">
        <f t="shared" si="205"/>
        <v>1892.4466197183096</v>
      </c>
      <c r="V887" s="33" t="s">
        <v>753</v>
      </c>
      <c r="W887" s="23"/>
    </row>
    <row r="888" spans="1:23" s="44" customFormat="1" ht="24.75" customHeight="1" x14ac:dyDescent="0.25">
      <c r="A888" s="326" t="s">
        <v>363</v>
      </c>
      <c r="B888" s="326"/>
      <c r="C888" s="78" t="s">
        <v>39</v>
      </c>
      <c r="D888" s="79" t="s">
        <v>39</v>
      </c>
      <c r="E888" s="80" t="s">
        <v>39</v>
      </c>
      <c r="F888" s="78" t="s">
        <v>39</v>
      </c>
      <c r="G888" s="81" t="s">
        <v>39</v>
      </c>
      <c r="H888" s="81" t="s">
        <v>39</v>
      </c>
      <c r="I888" s="60">
        <f t="shared" ref="I888:S888" si="215">SUM(I889:I893)</f>
        <v>8374.08</v>
      </c>
      <c r="J888" s="60">
        <f t="shared" si="215"/>
        <v>6919.02</v>
      </c>
      <c r="K888" s="60">
        <f t="shared" si="215"/>
        <v>6919.02</v>
      </c>
      <c r="L888" s="61">
        <f t="shared" si="215"/>
        <v>200</v>
      </c>
      <c r="M888" s="60">
        <f t="shared" si="215"/>
        <v>21229739.600000001</v>
      </c>
      <c r="N888" s="60">
        <f t="shared" si="215"/>
        <v>0</v>
      </c>
      <c r="O888" s="60">
        <f t="shared" si="215"/>
        <v>0</v>
      </c>
      <c r="P888" s="60">
        <f t="shared" si="215"/>
        <v>0</v>
      </c>
      <c r="Q888" s="60">
        <f t="shared" si="215"/>
        <v>21229739.600000001</v>
      </c>
      <c r="R888" s="60">
        <f t="shared" si="215"/>
        <v>21229739.600000001</v>
      </c>
      <c r="S888" s="60">
        <f t="shared" si="215"/>
        <v>0</v>
      </c>
      <c r="T888" s="24" t="s">
        <v>39</v>
      </c>
      <c r="U888" s="121" t="s">
        <v>39</v>
      </c>
      <c r="V888" s="62" t="s">
        <v>39</v>
      </c>
    </row>
    <row r="889" spans="1:23" s="44" customFormat="1" ht="45" x14ac:dyDescent="0.25">
      <c r="A889" s="28">
        <v>1</v>
      </c>
      <c r="B889" s="64" t="s">
        <v>367</v>
      </c>
      <c r="C889" s="25" t="s">
        <v>43</v>
      </c>
      <c r="D889" s="27" t="s">
        <v>219</v>
      </c>
      <c r="E889" s="63">
        <v>2017</v>
      </c>
      <c r="F889" s="25" t="s">
        <v>77</v>
      </c>
      <c r="G889" s="28">
        <v>3</v>
      </c>
      <c r="H889" s="28">
        <v>1</v>
      </c>
      <c r="I889" s="42">
        <v>779</v>
      </c>
      <c r="J889" s="29">
        <v>621.75</v>
      </c>
      <c r="K889" s="29">
        <v>621.75</v>
      </c>
      <c r="L889" s="30">
        <v>19</v>
      </c>
      <c r="M889" s="29">
        <f t="shared" ref="M889:M893" si="216">SUM(N889:Q889)</f>
        <v>4544479.38</v>
      </c>
      <c r="N889" s="29">
        <v>0</v>
      </c>
      <c r="O889" s="29">
        <v>0</v>
      </c>
      <c r="P889" s="29">
        <v>0</v>
      </c>
      <c r="Q889" s="29">
        <f>'Таблица 3 '!C879</f>
        <v>4544479.38</v>
      </c>
      <c r="R889" s="29">
        <f t="shared" ref="R889:R900" si="217">Q889</f>
        <v>4544479.38</v>
      </c>
      <c r="S889" s="29">
        <v>0</v>
      </c>
      <c r="T889" s="29">
        <f t="shared" si="203"/>
        <v>7309.1747165259349</v>
      </c>
      <c r="U889" s="29">
        <f t="shared" si="205"/>
        <v>7309.1747165259349</v>
      </c>
      <c r="V889" s="33" t="s">
        <v>753</v>
      </c>
    </row>
    <row r="890" spans="1:23" s="44" customFormat="1" ht="42" customHeight="1" x14ac:dyDescent="0.25">
      <c r="A890" s="28">
        <v>2</v>
      </c>
      <c r="B890" s="37" t="s">
        <v>675</v>
      </c>
      <c r="C890" s="25" t="s">
        <v>43</v>
      </c>
      <c r="D890" s="27">
        <v>1983</v>
      </c>
      <c r="E890" s="27" t="s">
        <v>39</v>
      </c>
      <c r="F890" s="25" t="s">
        <v>77</v>
      </c>
      <c r="G890" s="25">
        <v>3</v>
      </c>
      <c r="H890" s="25">
        <v>3</v>
      </c>
      <c r="I890" s="42">
        <v>934.16</v>
      </c>
      <c r="J890" s="42">
        <v>860.87</v>
      </c>
      <c r="K890" s="42">
        <v>860.87</v>
      </c>
      <c r="L890" s="43">
        <v>46</v>
      </c>
      <c r="M890" s="29">
        <f t="shared" si="216"/>
        <v>6279427.4099999992</v>
      </c>
      <c r="N890" s="29">
        <v>0</v>
      </c>
      <c r="O890" s="29">
        <v>0</v>
      </c>
      <c r="P890" s="29">
        <v>0</v>
      </c>
      <c r="Q890" s="29">
        <f>'Таблица 3 '!C880</f>
        <v>6279427.4099999992</v>
      </c>
      <c r="R890" s="29">
        <f t="shared" si="217"/>
        <v>6279427.4099999992</v>
      </c>
      <c r="S890" s="29">
        <v>0</v>
      </c>
      <c r="T890" s="29">
        <f t="shared" si="203"/>
        <v>7294.2806811713726</v>
      </c>
      <c r="U890" s="29">
        <f t="shared" si="205"/>
        <v>7294.2806811713726</v>
      </c>
      <c r="V890" s="33" t="s">
        <v>753</v>
      </c>
    </row>
    <row r="891" spans="1:23" s="44" customFormat="1" ht="42" customHeight="1" x14ac:dyDescent="0.25">
      <c r="A891" s="28">
        <v>3</v>
      </c>
      <c r="B891" s="37" t="s">
        <v>374</v>
      </c>
      <c r="C891" s="25" t="s">
        <v>43</v>
      </c>
      <c r="D891" s="27">
        <v>1990</v>
      </c>
      <c r="E891" s="27" t="s">
        <v>39</v>
      </c>
      <c r="F891" s="25" t="s">
        <v>77</v>
      </c>
      <c r="G891" s="25">
        <v>5</v>
      </c>
      <c r="H891" s="25">
        <v>3</v>
      </c>
      <c r="I891" s="42">
        <v>1157.4000000000001</v>
      </c>
      <c r="J891" s="42">
        <v>898.25</v>
      </c>
      <c r="K891" s="42">
        <v>898.25</v>
      </c>
      <c r="L891" s="43">
        <v>44</v>
      </c>
      <c r="M891" s="29">
        <f t="shared" si="216"/>
        <v>1719343.56</v>
      </c>
      <c r="N891" s="29">
        <v>0</v>
      </c>
      <c r="O891" s="29">
        <v>0</v>
      </c>
      <c r="P891" s="29">
        <v>0</v>
      </c>
      <c r="Q891" s="29">
        <f>'Таблица 3 '!C881</f>
        <v>1719343.56</v>
      </c>
      <c r="R891" s="29">
        <f t="shared" si="217"/>
        <v>1719343.56</v>
      </c>
      <c r="S891" s="29">
        <v>0</v>
      </c>
      <c r="T891" s="29">
        <f t="shared" si="203"/>
        <v>1914.1036014472586</v>
      </c>
      <c r="U891" s="29">
        <f t="shared" si="205"/>
        <v>1914.1036014472586</v>
      </c>
      <c r="V891" s="33" t="s">
        <v>753</v>
      </c>
    </row>
    <row r="892" spans="1:23" s="44" customFormat="1" ht="42" customHeight="1" x14ac:dyDescent="0.25">
      <c r="A892" s="28">
        <v>4</v>
      </c>
      <c r="B892" s="37" t="s">
        <v>376</v>
      </c>
      <c r="C892" s="25" t="s">
        <v>43</v>
      </c>
      <c r="D892" s="27">
        <v>1993</v>
      </c>
      <c r="E892" s="27">
        <v>2020</v>
      </c>
      <c r="F892" s="25" t="s">
        <v>77</v>
      </c>
      <c r="G892" s="25">
        <v>5</v>
      </c>
      <c r="H892" s="25">
        <v>1</v>
      </c>
      <c r="I892" s="42">
        <v>1087.5</v>
      </c>
      <c r="J892" s="42">
        <v>967.36</v>
      </c>
      <c r="K892" s="42">
        <v>967.36</v>
      </c>
      <c r="L892" s="43">
        <v>15</v>
      </c>
      <c r="M892" s="29">
        <f t="shared" si="216"/>
        <v>1851627.2600000002</v>
      </c>
      <c r="N892" s="29">
        <v>0</v>
      </c>
      <c r="O892" s="29">
        <v>0</v>
      </c>
      <c r="P892" s="29">
        <v>0</v>
      </c>
      <c r="Q892" s="29">
        <f>'Таблица 3 '!C882</f>
        <v>1851627.2600000002</v>
      </c>
      <c r="R892" s="29">
        <f t="shared" si="217"/>
        <v>1851627.2600000002</v>
      </c>
      <c r="S892" s="29">
        <v>0</v>
      </c>
      <c r="T892" s="29">
        <f t="shared" si="203"/>
        <v>1914.1036015547472</v>
      </c>
      <c r="U892" s="29">
        <f t="shared" si="205"/>
        <v>1914.1036015547472</v>
      </c>
      <c r="V892" s="33" t="s">
        <v>753</v>
      </c>
    </row>
    <row r="893" spans="1:23" s="44" customFormat="1" ht="42" customHeight="1" x14ac:dyDescent="0.25">
      <c r="A893" s="28">
        <v>5</v>
      </c>
      <c r="B893" s="38" t="s">
        <v>676</v>
      </c>
      <c r="C893" s="25" t="s">
        <v>43</v>
      </c>
      <c r="D893" s="27">
        <v>1979</v>
      </c>
      <c r="E893" s="27">
        <v>2023</v>
      </c>
      <c r="F893" s="25" t="s">
        <v>77</v>
      </c>
      <c r="G893" s="25">
        <v>5</v>
      </c>
      <c r="H893" s="25">
        <v>4</v>
      </c>
      <c r="I893" s="42">
        <v>4416.0200000000004</v>
      </c>
      <c r="J893" s="42">
        <v>3570.79</v>
      </c>
      <c r="K893" s="42">
        <v>3570.79</v>
      </c>
      <c r="L893" s="43">
        <v>76</v>
      </c>
      <c r="M893" s="29">
        <f t="shared" si="216"/>
        <v>6834861.9900000002</v>
      </c>
      <c r="N893" s="29">
        <v>0</v>
      </c>
      <c r="O893" s="29">
        <v>0</v>
      </c>
      <c r="P893" s="29">
        <v>0</v>
      </c>
      <c r="Q893" s="29">
        <f>'Таблица 3 '!C883</f>
        <v>6834861.9900000002</v>
      </c>
      <c r="R893" s="29">
        <f t="shared" si="217"/>
        <v>6834861.9900000002</v>
      </c>
      <c r="S893" s="29">
        <v>0</v>
      </c>
      <c r="T893" s="29">
        <f t="shared" si="203"/>
        <v>1914.1035989234877</v>
      </c>
      <c r="U893" s="29">
        <f t="shared" si="205"/>
        <v>1914.1035989234877</v>
      </c>
      <c r="V893" s="33" t="s">
        <v>753</v>
      </c>
    </row>
    <row r="894" spans="1:23" s="44" customFormat="1" ht="25.15" customHeight="1" x14ac:dyDescent="0.25">
      <c r="A894" s="322" t="s">
        <v>412</v>
      </c>
      <c r="B894" s="322"/>
      <c r="C894" s="18" t="s">
        <v>39</v>
      </c>
      <c r="D894" s="18" t="s">
        <v>39</v>
      </c>
      <c r="E894" s="19" t="s">
        <v>39</v>
      </c>
      <c r="F894" s="131" t="s">
        <v>39</v>
      </c>
      <c r="G894" s="132" t="s">
        <v>39</v>
      </c>
      <c r="H894" s="132" t="s">
        <v>39</v>
      </c>
      <c r="I894" s="133">
        <f t="shared" ref="I894:S894" si="218">SUM(I895:I900)</f>
        <v>13535.3</v>
      </c>
      <c r="J894" s="133">
        <f t="shared" si="218"/>
        <v>12145.800000000001</v>
      </c>
      <c r="K894" s="133">
        <f t="shared" si="218"/>
        <v>11586.1</v>
      </c>
      <c r="L894" s="134">
        <f t="shared" si="218"/>
        <v>475</v>
      </c>
      <c r="M894" s="133">
        <f t="shared" si="218"/>
        <v>44705346.509999998</v>
      </c>
      <c r="N894" s="133">
        <f t="shared" si="218"/>
        <v>0</v>
      </c>
      <c r="O894" s="133">
        <f t="shared" si="218"/>
        <v>0</v>
      </c>
      <c r="P894" s="133">
        <f t="shared" si="218"/>
        <v>0</v>
      </c>
      <c r="Q894" s="133">
        <f t="shared" si="218"/>
        <v>44705346.509999998</v>
      </c>
      <c r="R894" s="133">
        <f t="shared" si="218"/>
        <v>44705346.509999998</v>
      </c>
      <c r="S894" s="133">
        <f t="shared" si="218"/>
        <v>0</v>
      </c>
      <c r="T894" s="24" t="s">
        <v>39</v>
      </c>
      <c r="U894" s="24" t="s">
        <v>39</v>
      </c>
      <c r="V894" s="20" t="s">
        <v>39</v>
      </c>
    </row>
    <row r="895" spans="1:23" s="44" customFormat="1" ht="42.75" customHeight="1" x14ac:dyDescent="0.25">
      <c r="A895" s="25">
        <v>1</v>
      </c>
      <c r="B895" s="26" t="s">
        <v>413</v>
      </c>
      <c r="C895" s="25" t="s">
        <v>43</v>
      </c>
      <c r="D895" s="27">
        <v>1977</v>
      </c>
      <c r="E895" s="27" t="s">
        <v>63</v>
      </c>
      <c r="F895" s="25" t="s">
        <v>77</v>
      </c>
      <c r="G895" s="28" t="s">
        <v>414</v>
      </c>
      <c r="H895" s="28" t="s">
        <v>415</v>
      </c>
      <c r="I895" s="75">
        <v>3159.1</v>
      </c>
      <c r="J895" s="32">
        <v>2780.2</v>
      </c>
      <c r="K895" s="32">
        <v>2626.4</v>
      </c>
      <c r="L895" s="35">
        <v>103</v>
      </c>
      <c r="M895" s="83">
        <f t="shared" ref="M895:M900" si="219">SUM(N895:Q895)</f>
        <v>14774939.74</v>
      </c>
      <c r="N895" s="32">
        <v>0</v>
      </c>
      <c r="O895" s="32">
        <v>0</v>
      </c>
      <c r="P895" s="32">
        <v>0</v>
      </c>
      <c r="Q895" s="32">
        <f>'Таблица 3 '!C885</f>
        <v>14774939.74</v>
      </c>
      <c r="R895" s="32">
        <f t="shared" si="217"/>
        <v>14774939.74</v>
      </c>
      <c r="S895" s="32">
        <v>0</v>
      </c>
      <c r="T895" s="32">
        <f t="shared" si="203"/>
        <v>5314.3441982591185</v>
      </c>
      <c r="U895" s="83">
        <f t="shared" si="205"/>
        <v>5314.3441982591185</v>
      </c>
      <c r="V895" s="33" t="s">
        <v>753</v>
      </c>
    </row>
    <row r="896" spans="1:23" s="44" customFormat="1" ht="42.75" customHeight="1" x14ac:dyDescent="0.25">
      <c r="A896" s="25">
        <v>2</v>
      </c>
      <c r="B896" s="26" t="s">
        <v>416</v>
      </c>
      <c r="C896" s="25" t="s">
        <v>43</v>
      </c>
      <c r="D896" s="27">
        <v>1992</v>
      </c>
      <c r="E896" s="27">
        <v>2018</v>
      </c>
      <c r="F896" s="25" t="s">
        <v>77</v>
      </c>
      <c r="G896" s="28" t="s">
        <v>414</v>
      </c>
      <c r="H896" s="28" t="s">
        <v>415</v>
      </c>
      <c r="I896" s="75">
        <v>4378.2</v>
      </c>
      <c r="J896" s="32">
        <v>3819.9</v>
      </c>
      <c r="K896" s="32">
        <v>3601.6</v>
      </c>
      <c r="L896" s="35">
        <v>146</v>
      </c>
      <c r="M896" s="83">
        <f t="shared" si="219"/>
        <v>350382</v>
      </c>
      <c r="N896" s="32">
        <v>0</v>
      </c>
      <c r="O896" s="32">
        <v>0</v>
      </c>
      <c r="P896" s="32">
        <v>0</v>
      </c>
      <c r="Q896" s="32">
        <f>'Таблица 3 '!C886</f>
        <v>350382</v>
      </c>
      <c r="R896" s="32">
        <f t="shared" si="217"/>
        <v>350382</v>
      </c>
      <c r="S896" s="32">
        <v>0</v>
      </c>
      <c r="T896" s="32">
        <f t="shared" si="203"/>
        <v>91.725437838686872</v>
      </c>
      <c r="U896" s="83">
        <f t="shared" si="205"/>
        <v>91.725437838686872</v>
      </c>
      <c r="V896" s="33" t="s">
        <v>753</v>
      </c>
    </row>
    <row r="897" spans="1:23" s="44" customFormat="1" ht="42.75" customHeight="1" x14ac:dyDescent="0.25">
      <c r="A897" s="25">
        <v>3</v>
      </c>
      <c r="B897" s="26" t="s">
        <v>419</v>
      </c>
      <c r="C897" s="25" t="s">
        <v>43</v>
      </c>
      <c r="D897" s="27">
        <v>1960</v>
      </c>
      <c r="E897" s="27" t="s">
        <v>39</v>
      </c>
      <c r="F897" s="25" t="s">
        <v>77</v>
      </c>
      <c r="G897" s="28" t="s">
        <v>420</v>
      </c>
      <c r="H897" s="28" t="s">
        <v>420</v>
      </c>
      <c r="I897" s="42">
        <v>652.29999999999995</v>
      </c>
      <c r="J897" s="29">
        <v>628.29999999999995</v>
      </c>
      <c r="K897" s="29">
        <v>587</v>
      </c>
      <c r="L897" s="30">
        <v>38</v>
      </c>
      <c r="M897" s="83">
        <f t="shared" si="219"/>
        <v>12068295.309999999</v>
      </c>
      <c r="N897" s="32">
        <v>0</v>
      </c>
      <c r="O897" s="32">
        <v>0</v>
      </c>
      <c r="P897" s="32">
        <v>0</v>
      </c>
      <c r="Q897" s="32">
        <f>'Таблица 3 '!C887</f>
        <v>12068295.309999999</v>
      </c>
      <c r="R897" s="32">
        <f t="shared" si="217"/>
        <v>12068295.309999999</v>
      </c>
      <c r="S897" s="29">
        <v>0</v>
      </c>
      <c r="T897" s="32">
        <f t="shared" si="203"/>
        <v>19207.85502148655</v>
      </c>
      <c r="U897" s="83">
        <f t="shared" si="205"/>
        <v>19207.85502148655</v>
      </c>
      <c r="V897" s="33" t="s">
        <v>753</v>
      </c>
    </row>
    <row r="898" spans="1:23" s="44" customFormat="1" ht="42.75" customHeight="1" x14ac:dyDescent="0.25">
      <c r="A898" s="25">
        <v>4</v>
      </c>
      <c r="B898" s="26" t="s">
        <v>427</v>
      </c>
      <c r="C898" s="25" t="s">
        <v>43</v>
      </c>
      <c r="D898" s="27">
        <v>1969</v>
      </c>
      <c r="E898" s="27" t="s">
        <v>63</v>
      </c>
      <c r="F898" s="25" t="s">
        <v>77</v>
      </c>
      <c r="G898" s="28" t="s">
        <v>414</v>
      </c>
      <c r="H898" s="28" t="s">
        <v>415</v>
      </c>
      <c r="I898" s="75">
        <v>3353.6</v>
      </c>
      <c r="J898" s="32">
        <v>3109.2</v>
      </c>
      <c r="K898" s="32">
        <v>2962.9</v>
      </c>
      <c r="L898" s="35">
        <v>114</v>
      </c>
      <c r="M898" s="83">
        <f t="shared" si="219"/>
        <v>7383588.25</v>
      </c>
      <c r="N898" s="32">
        <v>0</v>
      </c>
      <c r="O898" s="32">
        <v>0</v>
      </c>
      <c r="P898" s="32">
        <v>0</v>
      </c>
      <c r="Q898" s="32">
        <f>'Таблица 3 '!C888</f>
        <v>7383588.25</v>
      </c>
      <c r="R898" s="32">
        <f t="shared" si="217"/>
        <v>7383588.25</v>
      </c>
      <c r="S898" s="32">
        <v>0</v>
      </c>
      <c r="T898" s="32">
        <f t="shared" si="203"/>
        <v>2374.7550012865049</v>
      </c>
      <c r="U898" s="83">
        <f t="shared" si="205"/>
        <v>2374.7550012865049</v>
      </c>
      <c r="V898" s="33" t="s">
        <v>753</v>
      </c>
    </row>
    <row r="899" spans="1:23" s="44" customFormat="1" ht="42.75" customHeight="1" x14ac:dyDescent="0.25">
      <c r="A899" s="25">
        <v>5</v>
      </c>
      <c r="B899" s="26" t="s">
        <v>778</v>
      </c>
      <c r="C899" s="25" t="s">
        <v>43</v>
      </c>
      <c r="D899" s="27">
        <v>1981</v>
      </c>
      <c r="E899" s="27" t="s">
        <v>50</v>
      </c>
      <c r="F899" s="25" t="s">
        <v>77</v>
      </c>
      <c r="G899" s="28">
        <v>2</v>
      </c>
      <c r="H899" s="28">
        <v>3</v>
      </c>
      <c r="I899" s="75">
        <v>1047.9000000000001</v>
      </c>
      <c r="J899" s="32">
        <v>880.6</v>
      </c>
      <c r="K899" s="32">
        <v>880.6</v>
      </c>
      <c r="L899" s="35">
        <v>36</v>
      </c>
      <c r="M899" s="83">
        <f t="shared" si="219"/>
        <v>7783441.7800000003</v>
      </c>
      <c r="N899" s="32">
        <v>0</v>
      </c>
      <c r="O899" s="32">
        <v>0</v>
      </c>
      <c r="P899" s="32">
        <v>0</v>
      </c>
      <c r="Q899" s="32">
        <f>'Таблица 3 '!C889</f>
        <v>7783441.7800000003</v>
      </c>
      <c r="R899" s="32">
        <f t="shared" si="217"/>
        <v>7783441.7800000003</v>
      </c>
      <c r="S899" s="32">
        <v>0</v>
      </c>
      <c r="T899" s="32">
        <f t="shared" si="203"/>
        <v>8838.7937542584605</v>
      </c>
      <c r="U899" s="83">
        <f t="shared" si="205"/>
        <v>8838.7937542584605</v>
      </c>
      <c r="V899" s="33" t="s">
        <v>753</v>
      </c>
    </row>
    <row r="900" spans="1:23" s="44" customFormat="1" ht="42.75" customHeight="1" x14ac:dyDescent="0.25">
      <c r="A900" s="25">
        <v>6</v>
      </c>
      <c r="B900" s="82" t="s">
        <v>779</v>
      </c>
      <c r="C900" s="25" t="s">
        <v>43</v>
      </c>
      <c r="D900" s="27">
        <v>1990</v>
      </c>
      <c r="E900" s="27" t="s">
        <v>57</v>
      </c>
      <c r="F900" s="25" t="s">
        <v>77</v>
      </c>
      <c r="G900" s="28">
        <v>2</v>
      </c>
      <c r="H900" s="28">
        <v>2</v>
      </c>
      <c r="I900" s="75">
        <v>944.2</v>
      </c>
      <c r="J900" s="32">
        <v>927.6</v>
      </c>
      <c r="K900" s="32">
        <v>927.6</v>
      </c>
      <c r="L900" s="35">
        <v>38</v>
      </c>
      <c r="M900" s="83">
        <f t="shared" si="219"/>
        <v>2344699.4300000002</v>
      </c>
      <c r="N900" s="32">
        <v>0</v>
      </c>
      <c r="O900" s="32">
        <v>0</v>
      </c>
      <c r="P900" s="32">
        <v>0</v>
      </c>
      <c r="Q900" s="32">
        <f>'Таблица 3 '!C890</f>
        <v>2344699.4300000002</v>
      </c>
      <c r="R900" s="32">
        <f t="shared" si="217"/>
        <v>2344699.4300000002</v>
      </c>
      <c r="S900" s="32">
        <v>0</v>
      </c>
      <c r="T900" s="32">
        <f t="shared" si="203"/>
        <v>2527.7052932298407</v>
      </c>
      <c r="U900" s="83">
        <f t="shared" si="205"/>
        <v>2527.7052932298407</v>
      </c>
      <c r="V900" s="33" t="s">
        <v>753</v>
      </c>
    </row>
    <row r="901" spans="1:23" s="44" customFormat="1" ht="23.25" customHeight="1" x14ac:dyDescent="0.25">
      <c r="A901" s="322" t="s">
        <v>430</v>
      </c>
      <c r="B901" s="322"/>
      <c r="C901" s="18" t="s">
        <v>39</v>
      </c>
      <c r="D901" s="18" t="s">
        <v>39</v>
      </c>
      <c r="E901" s="19" t="s">
        <v>39</v>
      </c>
      <c r="F901" s="18" t="s">
        <v>39</v>
      </c>
      <c r="G901" s="20" t="s">
        <v>39</v>
      </c>
      <c r="H901" s="20" t="s">
        <v>39</v>
      </c>
      <c r="I901" s="135">
        <f t="shared" ref="I901:S901" si="220">SUM(I902:I905)</f>
        <v>4823.7000000000007</v>
      </c>
      <c r="J901" s="135">
        <f t="shared" si="220"/>
        <v>3735.48</v>
      </c>
      <c r="K901" s="135">
        <f t="shared" si="220"/>
        <v>3457.88</v>
      </c>
      <c r="L901" s="136">
        <f t="shared" si="220"/>
        <v>129</v>
      </c>
      <c r="M901" s="135">
        <f t="shared" si="220"/>
        <v>23241981.200000003</v>
      </c>
      <c r="N901" s="135">
        <f t="shared" si="220"/>
        <v>0</v>
      </c>
      <c r="O901" s="135">
        <f t="shared" si="220"/>
        <v>0</v>
      </c>
      <c r="P901" s="135">
        <f t="shared" si="220"/>
        <v>0</v>
      </c>
      <c r="Q901" s="135">
        <f t="shared" si="220"/>
        <v>23241981.200000003</v>
      </c>
      <c r="R901" s="135">
        <f t="shared" si="220"/>
        <v>23241981.200000003</v>
      </c>
      <c r="S901" s="135">
        <f t="shared" si="220"/>
        <v>0</v>
      </c>
      <c r="T901" s="24" t="s">
        <v>39</v>
      </c>
      <c r="U901" s="24" t="s">
        <v>39</v>
      </c>
      <c r="V901" s="20" t="s">
        <v>39</v>
      </c>
    </row>
    <row r="902" spans="1:23" s="44" customFormat="1" ht="45" customHeight="1" x14ac:dyDescent="0.25">
      <c r="A902" s="25">
        <v>1</v>
      </c>
      <c r="B902" s="37" t="s">
        <v>780</v>
      </c>
      <c r="C902" s="25" t="s">
        <v>43</v>
      </c>
      <c r="D902" s="27" t="s">
        <v>79</v>
      </c>
      <c r="E902" s="27" t="s">
        <v>39</v>
      </c>
      <c r="F902" s="25" t="s">
        <v>77</v>
      </c>
      <c r="G902" s="28">
        <v>2</v>
      </c>
      <c r="H902" s="28">
        <v>3</v>
      </c>
      <c r="I902" s="98">
        <v>1768.51</v>
      </c>
      <c r="J902" s="98">
        <v>967.57</v>
      </c>
      <c r="K902" s="98">
        <v>916.37</v>
      </c>
      <c r="L902" s="43">
        <v>39</v>
      </c>
      <c r="M902" s="98">
        <f t="shared" ref="M902:M905" si="221">SUM(N902:Q902)</f>
        <v>11569474.16</v>
      </c>
      <c r="N902" s="42">
        <v>0</v>
      </c>
      <c r="O902" s="42">
        <v>0</v>
      </c>
      <c r="P902" s="42">
        <v>0</v>
      </c>
      <c r="Q902" s="83">
        <f>'Таблица 3 '!C892</f>
        <v>11569474.16</v>
      </c>
      <c r="R902" s="42">
        <f t="shared" ref="R902:R905" si="222">Q902</f>
        <v>11569474.16</v>
      </c>
      <c r="S902" s="42">
        <v>0</v>
      </c>
      <c r="T902" s="29">
        <f t="shared" si="203"/>
        <v>11957.247703008567</v>
      </c>
      <c r="U902" s="29">
        <f t="shared" si="205"/>
        <v>11957.247703008567</v>
      </c>
      <c r="V902" s="33" t="s">
        <v>753</v>
      </c>
    </row>
    <row r="903" spans="1:23" s="44" customFormat="1" ht="45" customHeight="1" x14ac:dyDescent="0.25">
      <c r="A903" s="25">
        <v>2</v>
      </c>
      <c r="B903" s="37" t="s">
        <v>781</v>
      </c>
      <c r="C903" s="25" t="s">
        <v>43</v>
      </c>
      <c r="D903" s="27" t="s">
        <v>145</v>
      </c>
      <c r="E903" s="27" t="s">
        <v>39</v>
      </c>
      <c r="F903" s="25" t="s">
        <v>77</v>
      </c>
      <c r="G903" s="28">
        <v>2</v>
      </c>
      <c r="H903" s="28">
        <v>2</v>
      </c>
      <c r="I903" s="98">
        <v>687.5</v>
      </c>
      <c r="J903" s="98">
        <v>611.91999999999996</v>
      </c>
      <c r="K903" s="98">
        <v>611.91999999999996</v>
      </c>
      <c r="L903" s="43">
        <v>23</v>
      </c>
      <c r="M903" s="98">
        <f t="shared" si="221"/>
        <v>1109989.3799999999</v>
      </c>
      <c r="N903" s="42">
        <v>0</v>
      </c>
      <c r="O903" s="42">
        <v>0</v>
      </c>
      <c r="P903" s="42">
        <v>0</v>
      </c>
      <c r="Q903" s="83">
        <f>'Таблица 3 '!C893</f>
        <v>1109989.3799999999</v>
      </c>
      <c r="R903" s="42">
        <f t="shared" si="222"/>
        <v>1109989.3799999999</v>
      </c>
      <c r="S903" s="42">
        <v>0</v>
      </c>
      <c r="T903" s="29">
        <f t="shared" si="203"/>
        <v>1813.9452542816055</v>
      </c>
      <c r="U903" s="29">
        <f t="shared" si="205"/>
        <v>1813.9452542816055</v>
      </c>
      <c r="V903" s="33" t="s">
        <v>753</v>
      </c>
    </row>
    <row r="904" spans="1:23" s="44" customFormat="1" ht="42.75" customHeight="1" x14ac:dyDescent="0.25">
      <c r="A904" s="25">
        <v>3</v>
      </c>
      <c r="B904" s="37" t="s">
        <v>688</v>
      </c>
      <c r="C904" s="25" t="s">
        <v>43</v>
      </c>
      <c r="D904" s="25">
        <v>1993</v>
      </c>
      <c r="E904" s="27">
        <v>2019</v>
      </c>
      <c r="F904" s="25" t="s">
        <v>77</v>
      </c>
      <c r="G904" s="28">
        <v>3</v>
      </c>
      <c r="H904" s="28">
        <v>3</v>
      </c>
      <c r="I904" s="87">
        <v>1673</v>
      </c>
      <c r="J904" s="83">
        <v>1530.8</v>
      </c>
      <c r="K904" s="83">
        <v>1456.4</v>
      </c>
      <c r="L904" s="35">
        <v>39</v>
      </c>
      <c r="M904" s="98">
        <f t="shared" si="221"/>
        <v>4542139.24</v>
      </c>
      <c r="N904" s="42">
        <v>0</v>
      </c>
      <c r="O904" s="42">
        <v>0</v>
      </c>
      <c r="P904" s="42">
        <v>0</v>
      </c>
      <c r="Q904" s="83">
        <f>'Таблица 3 '!C894</f>
        <v>4542139.24</v>
      </c>
      <c r="R904" s="42">
        <f t="shared" si="222"/>
        <v>4542139.24</v>
      </c>
      <c r="S904" s="32">
        <v>0</v>
      </c>
      <c r="T904" s="32">
        <f t="shared" si="203"/>
        <v>2967.1669976482885</v>
      </c>
      <c r="U904" s="32">
        <f t="shared" si="205"/>
        <v>2967.1669976482885</v>
      </c>
      <c r="V904" s="33" t="s">
        <v>753</v>
      </c>
    </row>
    <row r="905" spans="1:23" s="44" customFormat="1" ht="42.75" customHeight="1" x14ac:dyDescent="0.25">
      <c r="A905" s="25">
        <v>4</v>
      </c>
      <c r="B905" s="37" t="s">
        <v>782</v>
      </c>
      <c r="C905" s="25" t="s">
        <v>43</v>
      </c>
      <c r="D905" s="27" t="s">
        <v>91</v>
      </c>
      <c r="E905" s="27" t="s">
        <v>39</v>
      </c>
      <c r="F905" s="25" t="s">
        <v>77</v>
      </c>
      <c r="G905" s="28">
        <v>2</v>
      </c>
      <c r="H905" s="28">
        <v>2</v>
      </c>
      <c r="I905" s="98">
        <v>694.69</v>
      </c>
      <c r="J905" s="31">
        <v>625.19000000000005</v>
      </c>
      <c r="K905" s="31">
        <v>473.19</v>
      </c>
      <c r="L905" s="30">
        <v>28</v>
      </c>
      <c r="M905" s="98">
        <f t="shared" si="221"/>
        <v>6020378.4199999999</v>
      </c>
      <c r="N905" s="42">
        <v>0</v>
      </c>
      <c r="O905" s="42">
        <v>0</v>
      </c>
      <c r="P905" s="42">
        <v>0</v>
      </c>
      <c r="Q905" s="83">
        <f>'Таблица 3 '!C895</f>
        <v>6020378.4199999999</v>
      </c>
      <c r="R905" s="42">
        <f t="shared" si="222"/>
        <v>6020378.4199999999</v>
      </c>
      <c r="S905" s="29">
        <v>0</v>
      </c>
      <c r="T905" s="29">
        <f t="shared" si="203"/>
        <v>9629.6780498728385</v>
      </c>
      <c r="U905" s="29">
        <f t="shared" si="205"/>
        <v>9629.6780498728385</v>
      </c>
      <c r="V905" s="33" t="s">
        <v>753</v>
      </c>
    </row>
    <row r="906" spans="1:23" s="44" customFormat="1" ht="25.5" customHeight="1" x14ac:dyDescent="0.25">
      <c r="A906" s="322" t="s">
        <v>436</v>
      </c>
      <c r="B906" s="322"/>
      <c r="C906" s="18" t="s">
        <v>39</v>
      </c>
      <c r="D906" s="18" t="s">
        <v>39</v>
      </c>
      <c r="E906" s="19" t="s">
        <v>39</v>
      </c>
      <c r="F906" s="18" t="s">
        <v>39</v>
      </c>
      <c r="G906" s="20" t="s">
        <v>39</v>
      </c>
      <c r="H906" s="20" t="s">
        <v>39</v>
      </c>
      <c r="I906" s="115">
        <f t="shared" ref="I906:S906" si="223">SUM(I907:I909)</f>
        <v>9193.7000000000007</v>
      </c>
      <c r="J906" s="115">
        <f t="shared" si="223"/>
        <v>7797.9</v>
      </c>
      <c r="K906" s="115">
        <f t="shared" si="223"/>
        <v>3335</v>
      </c>
      <c r="L906" s="116">
        <f t="shared" si="223"/>
        <v>297</v>
      </c>
      <c r="M906" s="115">
        <f t="shared" si="223"/>
        <v>27271196</v>
      </c>
      <c r="N906" s="115">
        <f t="shared" si="223"/>
        <v>0</v>
      </c>
      <c r="O906" s="115">
        <f t="shared" si="223"/>
        <v>0</v>
      </c>
      <c r="P906" s="115">
        <f t="shared" si="223"/>
        <v>0</v>
      </c>
      <c r="Q906" s="115">
        <f t="shared" si="223"/>
        <v>27271196</v>
      </c>
      <c r="R906" s="115">
        <f t="shared" si="223"/>
        <v>27271196</v>
      </c>
      <c r="S906" s="115">
        <f t="shared" si="223"/>
        <v>0</v>
      </c>
      <c r="T906" s="24" t="s">
        <v>39</v>
      </c>
      <c r="U906" s="24" t="s">
        <v>39</v>
      </c>
      <c r="V906" s="20" t="s">
        <v>39</v>
      </c>
    </row>
    <row r="907" spans="1:23" s="44" customFormat="1" ht="46.9" customHeight="1" x14ac:dyDescent="0.25">
      <c r="A907" s="25">
        <v>1</v>
      </c>
      <c r="B907" s="71" t="s">
        <v>689</v>
      </c>
      <c r="C907" s="25" t="s">
        <v>43</v>
      </c>
      <c r="D907" s="28">
        <v>1963</v>
      </c>
      <c r="E907" s="63">
        <v>2022</v>
      </c>
      <c r="F907" s="25" t="s">
        <v>77</v>
      </c>
      <c r="G907" s="28">
        <v>2</v>
      </c>
      <c r="H907" s="28">
        <v>2</v>
      </c>
      <c r="I907" s="29">
        <v>323.10000000000002</v>
      </c>
      <c r="J907" s="29">
        <v>284.2</v>
      </c>
      <c r="K907" s="29">
        <v>251.7</v>
      </c>
      <c r="L907" s="30">
        <v>30</v>
      </c>
      <c r="M907" s="29">
        <f t="shared" ref="M907:M909" si="224">SUM(N907:Q907)</f>
        <v>504219.63</v>
      </c>
      <c r="N907" s="29">
        <v>0</v>
      </c>
      <c r="O907" s="29">
        <v>0</v>
      </c>
      <c r="P907" s="29">
        <v>0</v>
      </c>
      <c r="Q907" s="29">
        <f>'Таблица 3 '!C897</f>
        <v>504219.63</v>
      </c>
      <c r="R907" s="29">
        <f t="shared" ref="R907:R909" si="225">Q907</f>
        <v>504219.63</v>
      </c>
      <c r="S907" s="29">
        <v>0</v>
      </c>
      <c r="T907" s="29">
        <f t="shared" si="203"/>
        <v>1774.171815622801</v>
      </c>
      <c r="U907" s="29">
        <f t="shared" si="205"/>
        <v>1774.171815622801</v>
      </c>
      <c r="V907" s="33" t="s">
        <v>753</v>
      </c>
    </row>
    <row r="908" spans="1:23" s="44" customFormat="1" ht="46.9" customHeight="1" x14ac:dyDescent="0.25">
      <c r="A908" s="25">
        <v>2</v>
      </c>
      <c r="B908" s="37" t="s">
        <v>442</v>
      </c>
      <c r="C908" s="25" t="s">
        <v>43</v>
      </c>
      <c r="D908" s="25">
        <v>1986</v>
      </c>
      <c r="E908" s="27" t="s">
        <v>39</v>
      </c>
      <c r="F908" s="25" t="s">
        <v>48</v>
      </c>
      <c r="G908" s="28">
        <v>5</v>
      </c>
      <c r="H908" s="28">
        <v>3</v>
      </c>
      <c r="I908" s="42">
        <v>4477</v>
      </c>
      <c r="J908" s="29">
        <v>3800</v>
      </c>
      <c r="K908" s="29">
        <v>3034.4</v>
      </c>
      <c r="L908" s="30">
        <v>141</v>
      </c>
      <c r="M908" s="29">
        <f t="shared" si="224"/>
        <v>1721626.9100000001</v>
      </c>
      <c r="N908" s="29">
        <v>0</v>
      </c>
      <c r="O908" s="29">
        <v>0</v>
      </c>
      <c r="P908" s="29">
        <v>0</v>
      </c>
      <c r="Q908" s="29">
        <f>'Таблица 3 '!C898</f>
        <v>1721626.9100000001</v>
      </c>
      <c r="R908" s="29">
        <f t="shared" si="225"/>
        <v>1721626.9100000001</v>
      </c>
      <c r="S908" s="29">
        <v>0</v>
      </c>
      <c r="T908" s="29">
        <f t="shared" si="203"/>
        <v>453.05971315789475</v>
      </c>
      <c r="U908" s="29">
        <f t="shared" si="205"/>
        <v>453.05971315789475</v>
      </c>
      <c r="V908" s="33" t="s">
        <v>753</v>
      </c>
    </row>
    <row r="909" spans="1:23" s="44" customFormat="1" ht="42.75" customHeight="1" x14ac:dyDescent="0.25">
      <c r="A909" s="25">
        <v>3</v>
      </c>
      <c r="B909" s="37" t="s">
        <v>783</v>
      </c>
      <c r="C909" s="25" t="s">
        <v>43</v>
      </c>
      <c r="D909" s="25">
        <v>1966</v>
      </c>
      <c r="E909" s="27" t="s">
        <v>39</v>
      </c>
      <c r="F909" s="25" t="s">
        <v>48</v>
      </c>
      <c r="G909" s="28">
        <v>4</v>
      </c>
      <c r="H909" s="28">
        <v>4</v>
      </c>
      <c r="I909" s="42">
        <v>4393.6000000000004</v>
      </c>
      <c r="J909" s="29">
        <v>3713.7</v>
      </c>
      <c r="K909" s="29">
        <v>48.9</v>
      </c>
      <c r="L909" s="30">
        <v>126</v>
      </c>
      <c r="M909" s="29">
        <f t="shared" si="224"/>
        <v>25045349.460000001</v>
      </c>
      <c r="N909" s="29">
        <v>0</v>
      </c>
      <c r="O909" s="29">
        <v>0</v>
      </c>
      <c r="P909" s="29">
        <v>0</v>
      </c>
      <c r="Q909" s="29">
        <f>'Таблица 3 '!C899</f>
        <v>25045349.460000001</v>
      </c>
      <c r="R909" s="29">
        <f t="shared" si="225"/>
        <v>25045349.460000001</v>
      </c>
      <c r="S909" s="29">
        <v>0</v>
      </c>
      <c r="T909" s="29">
        <f t="shared" si="203"/>
        <v>6744.0421843444547</v>
      </c>
      <c r="U909" s="29">
        <f t="shared" si="205"/>
        <v>6744.0421843444547</v>
      </c>
      <c r="V909" s="33" t="s">
        <v>753</v>
      </c>
    </row>
    <row r="910" spans="1:23" s="44" customFormat="1" ht="27.75" customHeight="1" x14ac:dyDescent="0.25">
      <c r="A910" s="322" t="s">
        <v>452</v>
      </c>
      <c r="B910" s="322"/>
      <c r="C910" s="18" t="s">
        <v>39</v>
      </c>
      <c r="D910" s="18" t="s">
        <v>39</v>
      </c>
      <c r="E910" s="19" t="s">
        <v>39</v>
      </c>
      <c r="F910" s="18" t="s">
        <v>39</v>
      </c>
      <c r="G910" s="20" t="s">
        <v>39</v>
      </c>
      <c r="H910" s="20" t="s">
        <v>39</v>
      </c>
      <c r="I910" s="21">
        <f t="shared" ref="I910:S910" si="226">SUM(I911:I912)</f>
        <v>8764.7000000000007</v>
      </c>
      <c r="J910" s="21">
        <f t="shared" si="226"/>
        <v>6965.4</v>
      </c>
      <c r="K910" s="21">
        <f t="shared" si="226"/>
        <v>6828.2999999999993</v>
      </c>
      <c r="L910" s="22">
        <f t="shared" si="226"/>
        <v>193</v>
      </c>
      <c r="M910" s="21">
        <f t="shared" si="226"/>
        <v>21320759.239999998</v>
      </c>
      <c r="N910" s="21">
        <f t="shared" si="226"/>
        <v>0</v>
      </c>
      <c r="O910" s="21">
        <f t="shared" si="226"/>
        <v>0</v>
      </c>
      <c r="P910" s="21">
        <f t="shared" si="226"/>
        <v>0</v>
      </c>
      <c r="Q910" s="21">
        <f t="shared" si="226"/>
        <v>21320759.239999998</v>
      </c>
      <c r="R910" s="21">
        <f t="shared" si="226"/>
        <v>21320759.239999998</v>
      </c>
      <c r="S910" s="21">
        <f t="shared" si="226"/>
        <v>0</v>
      </c>
      <c r="T910" s="24" t="s">
        <v>40</v>
      </c>
      <c r="U910" s="24" t="s">
        <v>40</v>
      </c>
      <c r="V910" s="20" t="s">
        <v>40</v>
      </c>
    </row>
    <row r="911" spans="1:23" s="44" customFormat="1" ht="45" customHeight="1" x14ac:dyDescent="0.25">
      <c r="A911" s="25">
        <v>1</v>
      </c>
      <c r="B911" s="26" t="s">
        <v>784</v>
      </c>
      <c r="C911" s="25" t="s">
        <v>43</v>
      </c>
      <c r="D911" s="91">
        <v>1954</v>
      </c>
      <c r="E911" s="27" t="s">
        <v>50</v>
      </c>
      <c r="F911" s="25" t="s">
        <v>456</v>
      </c>
      <c r="G911" s="28">
        <v>2</v>
      </c>
      <c r="H911" s="28">
        <v>2</v>
      </c>
      <c r="I911" s="29">
        <v>1715</v>
      </c>
      <c r="J911" s="29">
        <v>731.4</v>
      </c>
      <c r="K911" s="29">
        <v>731.4</v>
      </c>
      <c r="L911" s="30">
        <v>30</v>
      </c>
      <c r="M911" s="31">
        <f t="shared" ref="M911:M912" si="227">SUM(N911:Q911)</f>
        <v>6516536.5699999994</v>
      </c>
      <c r="N911" s="29">
        <v>0</v>
      </c>
      <c r="O911" s="29">
        <v>0</v>
      </c>
      <c r="P911" s="29">
        <v>0</v>
      </c>
      <c r="Q911" s="32">
        <f>'Таблица 3 '!C901</f>
        <v>6516536.5699999994</v>
      </c>
      <c r="R911" s="29">
        <f t="shared" ref="R911:R912" si="228">Q911</f>
        <v>6516536.5699999994</v>
      </c>
      <c r="S911" s="29">
        <v>0</v>
      </c>
      <c r="T911" s="29">
        <f t="shared" si="203"/>
        <v>8909.6753759912499</v>
      </c>
      <c r="U911" s="31">
        <f t="shared" si="205"/>
        <v>8909.6753759912499</v>
      </c>
      <c r="V911" s="33" t="s">
        <v>753</v>
      </c>
    </row>
    <row r="912" spans="1:23" s="44" customFormat="1" ht="45" customHeight="1" x14ac:dyDescent="0.25">
      <c r="A912" s="25">
        <v>2</v>
      </c>
      <c r="B912" s="26" t="s">
        <v>711</v>
      </c>
      <c r="C912" s="25" t="s">
        <v>43</v>
      </c>
      <c r="D912" s="91">
        <v>1992</v>
      </c>
      <c r="E912" s="27" t="s">
        <v>47</v>
      </c>
      <c r="F912" s="25" t="s">
        <v>48</v>
      </c>
      <c r="G912" s="28">
        <v>9</v>
      </c>
      <c r="H912" s="28">
        <v>3</v>
      </c>
      <c r="I912" s="29">
        <v>7049.7</v>
      </c>
      <c r="J912" s="29">
        <v>6234</v>
      </c>
      <c r="K912" s="29">
        <v>6096.9</v>
      </c>
      <c r="L912" s="90">
        <v>163</v>
      </c>
      <c r="M912" s="31">
        <f t="shared" si="227"/>
        <v>14804222.67</v>
      </c>
      <c r="N912" s="29">
        <v>0</v>
      </c>
      <c r="O912" s="29">
        <v>0</v>
      </c>
      <c r="P912" s="29">
        <v>0</v>
      </c>
      <c r="Q912" s="32">
        <f>'Таблица 3 '!C902</f>
        <v>14804222.67</v>
      </c>
      <c r="R912" s="29">
        <f t="shared" si="228"/>
        <v>14804222.67</v>
      </c>
      <c r="S912" s="29">
        <v>0</v>
      </c>
      <c r="T912" s="29">
        <f t="shared" si="203"/>
        <v>2374.7550000000001</v>
      </c>
      <c r="U912" s="31">
        <f t="shared" si="205"/>
        <v>2374.7550000000001</v>
      </c>
      <c r="V912" s="33" t="s">
        <v>753</v>
      </c>
      <c r="W912" s="109"/>
    </row>
    <row r="913" spans="1:23" s="23" customFormat="1" ht="25.15" customHeight="1" x14ac:dyDescent="0.2">
      <c r="A913" s="326" t="s">
        <v>465</v>
      </c>
      <c r="B913" s="326"/>
      <c r="C913" s="20" t="s">
        <v>39</v>
      </c>
      <c r="D913" s="20" t="s">
        <v>39</v>
      </c>
      <c r="E913" s="62" t="s">
        <v>39</v>
      </c>
      <c r="F913" s="20" t="s">
        <v>39</v>
      </c>
      <c r="G913" s="20" t="s">
        <v>39</v>
      </c>
      <c r="H913" s="20" t="s">
        <v>39</v>
      </c>
      <c r="I913" s="60">
        <f t="shared" ref="I913:S913" si="229">SUM(I914:I917)</f>
        <v>2974.8900000000003</v>
      </c>
      <c r="J913" s="60">
        <f t="shared" si="229"/>
        <v>2465.1999999999998</v>
      </c>
      <c r="K913" s="60">
        <f t="shared" si="229"/>
        <v>1667.3</v>
      </c>
      <c r="L913" s="61">
        <f t="shared" si="229"/>
        <v>76</v>
      </c>
      <c r="M913" s="60">
        <f t="shared" si="229"/>
        <v>21365651.73</v>
      </c>
      <c r="N913" s="60">
        <f t="shared" si="229"/>
        <v>0</v>
      </c>
      <c r="O913" s="60">
        <f t="shared" si="229"/>
        <v>0</v>
      </c>
      <c r="P913" s="60">
        <f t="shared" si="229"/>
        <v>0</v>
      </c>
      <c r="Q913" s="60">
        <f t="shared" si="229"/>
        <v>21365651.73</v>
      </c>
      <c r="R913" s="60">
        <f t="shared" si="229"/>
        <v>21365651.73</v>
      </c>
      <c r="S913" s="60">
        <f t="shared" si="229"/>
        <v>0</v>
      </c>
      <c r="T913" s="24" t="s">
        <v>39</v>
      </c>
      <c r="U913" s="24" t="s">
        <v>39</v>
      </c>
      <c r="V913" s="20" t="s">
        <v>39</v>
      </c>
    </row>
    <row r="914" spans="1:23" s="23" customFormat="1" ht="45" customHeight="1" x14ac:dyDescent="0.25">
      <c r="A914" s="25">
        <v>1</v>
      </c>
      <c r="B914" s="38" t="s">
        <v>468</v>
      </c>
      <c r="C914" s="25" t="s">
        <v>43</v>
      </c>
      <c r="D914" s="28">
        <v>1988</v>
      </c>
      <c r="E914" s="63" t="s">
        <v>39</v>
      </c>
      <c r="F914" s="25" t="s">
        <v>77</v>
      </c>
      <c r="G914" s="28">
        <v>3</v>
      </c>
      <c r="H914" s="28">
        <v>3</v>
      </c>
      <c r="I914" s="29">
        <v>721.5</v>
      </c>
      <c r="J914" s="29">
        <v>721.5</v>
      </c>
      <c r="K914" s="29">
        <v>0</v>
      </c>
      <c r="L914" s="30">
        <v>12</v>
      </c>
      <c r="M914" s="31">
        <f t="shared" ref="M914:M917" si="230">SUM(N914:Q914)</f>
        <v>11664287.9</v>
      </c>
      <c r="N914" s="42">
        <v>0</v>
      </c>
      <c r="O914" s="42">
        <v>0</v>
      </c>
      <c r="P914" s="42">
        <v>0</v>
      </c>
      <c r="Q914" s="29">
        <f>'Таблица 3 '!C904</f>
        <v>11664287.9</v>
      </c>
      <c r="R914" s="42">
        <f t="shared" ref="R914:R917" si="231">Q914</f>
        <v>11664287.9</v>
      </c>
      <c r="S914" s="42">
        <v>0</v>
      </c>
      <c r="T914" s="29">
        <f t="shared" si="203"/>
        <v>16166.719196119197</v>
      </c>
      <c r="U914" s="31">
        <f t="shared" si="205"/>
        <v>16166.719196119197</v>
      </c>
      <c r="V914" s="33" t="s">
        <v>753</v>
      </c>
    </row>
    <row r="915" spans="1:23" s="23" customFormat="1" ht="45" customHeight="1" x14ac:dyDescent="0.25">
      <c r="A915" s="25">
        <v>2</v>
      </c>
      <c r="B915" s="38" t="s">
        <v>712</v>
      </c>
      <c r="C915" s="25" t="s">
        <v>43</v>
      </c>
      <c r="D915" s="28">
        <v>1970</v>
      </c>
      <c r="E915" s="63" t="s">
        <v>39</v>
      </c>
      <c r="F915" s="25" t="s">
        <v>77</v>
      </c>
      <c r="G915" s="28">
        <v>2</v>
      </c>
      <c r="H915" s="28">
        <v>1</v>
      </c>
      <c r="I915" s="29">
        <v>509</v>
      </c>
      <c r="J915" s="29">
        <v>478.7</v>
      </c>
      <c r="K915" s="29">
        <v>444.7</v>
      </c>
      <c r="L915" s="30">
        <v>16</v>
      </c>
      <c r="M915" s="31">
        <f t="shared" si="230"/>
        <v>1682945.8699999999</v>
      </c>
      <c r="N915" s="42">
        <v>0</v>
      </c>
      <c r="O915" s="42">
        <v>0</v>
      </c>
      <c r="P915" s="42">
        <v>0</v>
      </c>
      <c r="Q915" s="29">
        <f>'Таблица 3 '!C905</f>
        <v>1682945.8699999999</v>
      </c>
      <c r="R915" s="42">
        <f t="shared" si="231"/>
        <v>1682945.8699999999</v>
      </c>
      <c r="S915" s="42">
        <v>0</v>
      </c>
      <c r="T915" s="29">
        <f t="shared" si="203"/>
        <v>3515.6588050971377</v>
      </c>
      <c r="U915" s="31">
        <f t="shared" si="205"/>
        <v>3515.6588050971377</v>
      </c>
      <c r="V915" s="33" t="s">
        <v>753</v>
      </c>
      <c r="W915" s="44"/>
    </row>
    <row r="916" spans="1:23" s="23" customFormat="1" ht="45" customHeight="1" x14ac:dyDescent="0.25">
      <c r="A916" s="25">
        <v>3</v>
      </c>
      <c r="B916" s="38" t="s">
        <v>713</v>
      </c>
      <c r="C916" s="25" t="s">
        <v>43</v>
      </c>
      <c r="D916" s="28">
        <v>1964</v>
      </c>
      <c r="E916" s="63" t="s">
        <v>39</v>
      </c>
      <c r="F916" s="25" t="s">
        <v>77</v>
      </c>
      <c r="G916" s="28">
        <v>2</v>
      </c>
      <c r="H916" s="28">
        <v>2</v>
      </c>
      <c r="I916" s="29">
        <v>661</v>
      </c>
      <c r="J916" s="29">
        <v>637.29999999999995</v>
      </c>
      <c r="K916" s="29">
        <v>594.9</v>
      </c>
      <c r="L916" s="30">
        <v>21</v>
      </c>
      <c r="M916" s="31">
        <f t="shared" si="230"/>
        <v>2240529.35</v>
      </c>
      <c r="N916" s="42">
        <v>0</v>
      </c>
      <c r="O916" s="42">
        <v>0</v>
      </c>
      <c r="P916" s="42">
        <v>0</v>
      </c>
      <c r="Q916" s="29">
        <f>'Таблица 3 '!C906</f>
        <v>2240529.35</v>
      </c>
      <c r="R916" s="42">
        <f t="shared" si="231"/>
        <v>2240529.35</v>
      </c>
      <c r="S916" s="42">
        <v>0</v>
      </c>
      <c r="T916" s="29">
        <f t="shared" si="203"/>
        <v>3515.6587949160526</v>
      </c>
      <c r="U916" s="31">
        <f t="shared" si="205"/>
        <v>3515.6587949160526</v>
      </c>
      <c r="V916" s="33" t="s">
        <v>753</v>
      </c>
      <c r="W916" s="44"/>
    </row>
    <row r="917" spans="1:23" s="23" customFormat="1" ht="45" customHeight="1" x14ac:dyDescent="0.25">
      <c r="A917" s="25">
        <v>4</v>
      </c>
      <c r="B917" s="38" t="s">
        <v>714</v>
      </c>
      <c r="C917" s="25" t="s">
        <v>43</v>
      </c>
      <c r="D917" s="28">
        <v>1969</v>
      </c>
      <c r="E917" s="63" t="s">
        <v>39</v>
      </c>
      <c r="F917" s="25" t="s">
        <v>77</v>
      </c>
      <c r="G917" s="28">
        <v>2</v>
      </c>
      <c r="H917" s="28">
        <v>2</v>
      </c>
      <c r="I917" s="29">
        <v>1083.3900000000001</v>
      </c>
      <c r="J917" s="29">
        <v>627.70000000000005</v>
      </c>
      <c r="K917" s="29">
        <v>627.70000000000005</v>
      </c>
      <c r="L917" s="30">
        <v>27</v>
      </c>
      <c r="M917" s="31">
        <f t="shared" si="230"/>
        <v>5777888.6100000003</v>
      </c>
      <c r="N917" s="42">
        <v>0</v>
      </c>
      <c r="O917" s="42">
        <v>0</v>
      </c>
      <c r="P917" s="42">
        <v>0</v>
      </c>
      <c r="Q917" s="29">
        <f>'Таблица 3 '!C907</f>
        <v>5777888.6100000003</v>
      </c>
      <c r="R917" s="42">
        <f t="shared" si="231"/>
        <v>5777888.6100000003</v>
      </c>
      <c r="S917" s="42">
        <v>0</v>
      </c>
      <c r="T917" s="29">
        <f t="shared" ref="T917:T956" si="232">M917/J917</f>
        <v>9204.8567946471248</v>
      </c>
      <c r="U917" s="31">
        <f t="shared" si="205"/>
        <v>9204.8567946471248</v>
      </c>
      <c r="V917" s="33" t="s">
        <v>753</v>
      </c>
      <c r="W917" s="44"/>
    </row>
    <row r="918" spans="1:23" s="23" customFormat="1" ht="24.75" customHeight="1" x14ac:dyDescent="0.2">
      <c r="A918" s="323" t="s">
        <v>475</v>
      </c>
      <c r="B918" s="323"/>
      <c r="C918" s="18" t="s">
        <v>39</v>
      </c>
      <c r="D918" s="20" t="s">
        <v>39</v>
      </c>
      <c r="E918" s="62" t="s">
        <v>39</v>
      </c>
      <c r="F918" s="18" t="s">
        <v>39</v>
      </c>
      <c r="G918" s="20" t="s">
        <v>39</v>
      </c>
      <c r="H918" s="20" t="s">
        <v>39</v>
      </c>
      <c r="I918" s="60">
        <f t="shared" ref="I918:S918" si="233">SUM(I919:I921)</f>
        <v>2476</v>
      </c>
      <c r="J918" s="60">
        <f t="shared" si="233"/>
        <v>2034.6</v>
      </c>
      <c r="K918" s="60">
        <f t="shared" si="233"/>
        <v>1739.5000000000002</v>
      </c>
      <c r="L918" s="61">
        <f t="shared" si="233"/>
        <v>62</v>
      </c>
      <c r="M918" s="60">
        <f t="shared" si="233"/>
        <v>12270982.609999999</v>
      </c>
      <c r="N918" s="60">
        <f t="shared" si="233"/>
        <v>0</v>
      </c>
      <c r="O918" s="60">
        <f t="shared" si="233"/>
        <v>0</v>
      </c>
      <c r="P918" s="60">
        <f t="shared" si="233"/>
        <v>0</v>
      </c>
      <c r="Q918" s="60">
        <f t="shared" si="233"/>
        <v>12270982.609999999</v>
      </c>
      <c r="R918" s="60">
        <f t="shared" si="233"/>
        <v>12270982.609999999</v>
      </c>
      <c r="S918" s="60">
        <f t="shared" si="233"/>
        <v>0</v>
      </c>
      <c r="T918" s="24" t="s">
        <v>39</v>
      </c>
      <c r="U918" s="24" t="s">
        <v>39</v>
      </c>
      <c r="V918" s="20" t="s">
        <v>39</v>
      </c>
    </row>
    <row r="919" spans="1:23" s="23" customFormat="1" ht="40.5" customHeight="1" x14ac:dyDescent="0.25">
      <c r="A919" s="25">
        <v>1</v>
      </c>
      <c r="B919" s="93" t="s">
        <v>715</v>
      </c>
      <c r="C919" s="25" t="s">
        <v>43</v>
      </c>
      <c r="D919" s="25">
        <v>1965</v>
      </c>
      <c r="E919" s="27" t="s">
        <v>39</v>
      </c>
      <c r="F919" s="25" t="s">
        <v>77</v>
      </c>
      <c r="G919" s="28">
        <v>2</v>
      </c>
      <c r="H919" s="28">
        <v>3</v>
      </c>
      <c r="I919" s="32">
        <v>824.4</v>
      </c>
      <c r="J919" s="32">
        <v>471.1</v>
      </c>
      <c r="K919" s="32">
        <v>471.1</v>
      </c>
      <c r="L919" s="35">
        <v>12</v>
      </c>
      <c r="M919" s="29">
        <f t="shared" ref="M919:M921" si="234">SUM(N919:Q919)</f>
        <v>4696724.1499999994</v>
      </c>
      <c r="N919" s="29">
        <v>0</v>
      </c>
      <c r="O919" s="29">
        <v>0</v>
      </c>
      <c r="P919" s="29">
        <v>0</v>
      </c>
      <c r="Q919" s="29">
        <f>'Таблица 3 '!C909</f>
        <v>4696724.1499999994</v>
      </c>
      <c r="R919" s="29">
        <f t="shared" ref="R919:R921" si="235">Q919</f>
        <v>4696724.1499999994</v>
      </c>
      <c r="S919" s="29">
        <v>0</v>
      </c>
      <c r="T919" s="29">
        <f t="shared" si="232"/>
        <v>9969.6967735088074</v>
      </c>
      <c r="U919" s="31">
        <f t="shared" ref="U919:U956" si="236">T919</f>
        <v>9969.6967735088074</v>
      </c>
      <c r="V919" s="33" t="s">
        <v>753</v>
      </c>
      <c r="W919" s="44"/>
    </row>
    <row r="920" spans="1:23" s="23" customFormat="1" ht="42.75" customHeight="1" x14ac:dyDescent="0.25">
      <c r="A920" s="25">
        <v>2</v>
      </c>
      <c r="B920" s="93" t="s">
        <v>716</v>
      </c>
      <c r="C920" s="25" t="s">
        <v>43</v>
      </c>
      <c r="D920" s="25">
        <v>1975</v>
      </c>
      <c r="E920" s="27" t="s">
        <v>39</v>
      </c>
      <c r="F920" s="25" t="s">
        <v>77</v>
      </c>
      <c r="G920" s="28">
        <v>2</v>
      </c>
      <c r="H920" s="28">
        <v>2</v>
      </c>
      <c r="I920" s="32">
        <v>803.6</v>
      </c>
      <c r="J920" s="32">
        <v>728.6</v>
      </c>
      <c r="K920" s="32">
        <v>723.7</v>
      </c>
      <c r="L920" s="35">
        <v>17</v>
      </c>
      <c r="M920" s="29">
        <f t="shared" si="234"/>
        <v>7075389.8500000006</v>
      </c>
      <c r="N920" s="29">
        <v>0</v>
      </c>
      <c r="O920" s="29">
        <v>0</v>
      </c>
      <c r="P920" s="29">
        <v>0</v>
      </c>
      <c r="Q920" s="29">
        <f>'Таблица 3 '!C910</f>
        <v>7075389.8500000006</v>
      </c>
      <c r="R920" s="29">
        <f t="shared" si="235"/>
        <v>7075389.8500000006</v>
      </c>
      <c r="S920" s="29">
        <v>0</v>
      </c>
      <c r="T920" s="29">
        <f t="shared" si="232"/>
        <v>9710.9385808399675</v>
      </c>
      <c r="U920" s="31">
        <f t="shared" si="236"/>
        <v>9710.9385808399675</v>
      </c>
      <c r="V920" s="33" t="s">
        <v>753</v>
      </c>
      <c r="W920" s="44"/>
    </row>
    <row r="921" spans="1:23" s="44" customFormat="1" ht="47.25" customHeight="1" x14ac:dyDescent="0.25">
      <c r="A921" s="25">
        <v>3</v>
      </c>
      <c r="B921" s="37" t="s">
        <v>481</v>
      </c>
      <c r="C921" s="25" t="s">
        <v>43</v>
      </c>
      <c r="D921" s="28">
        <v>1989</v>
      </c>
      <c r="E921" s="63" t="s">
        <v>39</v>
      </c>
      <c r="F921" s="25" t="s">
        <v>77</v>
      </c>
      <c r="G921" s="28">
        <v>3</v>
      </c>
      <c r="H921" s="28">
        <v>2</v>
      </c>
      <c r="I921" s="29">
        <v>848</v>
      </c>
      <c r="J921" s="29">
        <v>834.9</v>
      </c>
      <c r="K921" s="29">
        <v>544.70000000000005</v>
      </c>
      <c r="L921" s="30">
        <v>33</v>
      </c>
      <c r="M921" s="29">
        <f t="shared" si="234"/>
        <v>498868.61</v>
      </c>
      <c r="N921" s="29">
        <v>0</v>
      </c>
      <c r="O921" s="29">
        <v>0</v>
      </c>
      <c r="P921" s="29">
        <v>0</v>
      </c>
      <c r="Q921" s="29">
        <f>'Таблица 3 '!C911</f>
        <v>498868.61</v>
      </c>
      <c r="R921" s="29">
        <f t="shared" si="235"/>
        <v>498868.61</v>
      </c>
      <c r="S921" s="29">
        <v>0</v>
      </c>
      <c r="T921" s="29">
        <f t="shared" si="232"/>
        <v>597.5189962869805</v>
      </c>
      <c r="U921" s="29">
        <f t="shared" si="236"/>
        <v>597.5189962869805</v>
      </c>
      <c r="V921" s="33" t="s">
        <v>753</v>
      </c>
    </row>
    <row r="922" spans="1:23" s="44" customFormat="1" ht="27" customHeight="1" x14ac:dyDescent="0.25">
      <c r="A922" s="322" t="s">
        <v>482</v>
      </c>
      <c r="B922" s="322"/>
      <c r="C922" s="18" t="s">
        <v>39</v>
      </c>
      <c r="D922" s="18" t="s">
        <v>39</v>
      </c>
      <c r="E922" s="19" t="s">
        <v>39</v>
      </c>
      <c r="F922" s="18" t="s">
        <v>39</v>
      </c>
      <c r="G922" s="20" t="s">
        <v>39</v>
      </c>
      <c r="H922" s="20" t="s">
        <v>39</v>
      </c>
      <c r="I922" s="60">
        <f t="shared" ref="I922:S922" si="237">SUM(I923:I924)</f>
        <v>3160.39</v>
      </c>
      <c r="J922" s="60">
        <f t="shared" si="237"/>
        <v>2502.4899999999998</v>
      </c>
      <c r="K922" s="60">
        <f t="shared" si="237"/>
        <v>2211.59</v>
      </c>
      <c r="L922" s="61">
        <f t="shared" si="237"/>
        <v>121</v>
      </c>
      <c r="M922" s="60">
        <f t="shared" si="237"/>
        <v>2374096.34</v>
      </c>
      <c r="N922" s="60">
        <f t="shared" si="237"/>
        <v>0</v>
      </c>
      <c r="O922" s="60">
        <f t="shared" si="237"/>
        <v>0</v>
      </c>
      <c r="P922" s="60">
        <f t="shared" si="237"/>
        <v>0</v>
      </c>
      <c r="Q922" s="60">
        <f t="shared" si="237"/>
        <v>2374096.34</v>
      </c>
      <c r="R922" s="60">
        <f t="shared" si="237"/>
        <v>2374096.34</v>
      </c>
      <c r="S922" s="60">
        <f t="shared" si="237"/>
        <v>0</v>
      </c>
      <c r="T922" s="24" t="s">
        <v>39</v>
      </c>
      <c r="U922" s="24" t="s">
        <v>39</v>
      </c>
      <c r="V922" s="59" t="s">
        <v>39</v>
      </c>
      <c r="W922" s="23"/>
    </row>
    <row r="923" spans="1:23" s="44" customFormat="1" ht="45.75" customHeight="1" x14ac:dyDescent="0.25">
      <c r="A923" s="25">
        <v>1</v>
      </c>
      <c r="B923" s="37" t="s">
        <v>785</v>
      </c>
      <c r="C923" s="25" t="s">
        <v>43</v>
      </c>
      <c r="D923" s="25">
        <v>1988</v>
      </c>
      <c r="E923" s="25" t="s">
        <v>39</v>
      </c>
      <c r="F923" s="25" t="s">
        <v>77</v>
      </c>
      <c r="G923" s="28">
        <v>3</v>
      </c>
      <c r="H923" s="28">
        <v>4</v>
      </c>
      <c r="I923" s="29">
        <v>2417.9899999999998</v>
      </c>
      <c r="J923" s="29">
        <v>1977.99</v>
      </c>
      <c r="K923" s="29">
        <v>1912.99</v>
      </c>
      <c r="L923" s="30">
        <v>99</v>
      </c>
      <c r="M923" s="29">
        <f t="shared" ref="M923:M924" si="238">SUM(N923:Q923)</f>
        <v>265594</v>
      </c>
      <c r="N923" s="29">
        <v>0</v>
      </c>
      <c r="O923" s="29">
        <v>0</v>
      </c>
      <c r="P923" s="29">
        <v>0</v>
      </c>
      <c r="Q923" s="29">
        <f>'Таблица 3 '!C913</f>
        <v>265594</v>
      </c>
      <c r="R923" s="29">
        <f t="shared" ref="R923:R924" si="239">Q923</f>
        <v>265594</v>
      </c>
      <c r="S923" s="29">
        <v>0</v>
      </c>
      <c r="T923" s="29">
        <f t="shared" si="232"/>
        <v>134.27469299642567</v>
      </c>
      <c r="U923" s="29">
        <f t="shared" si="236"/>
        <v>134.27469299642567</v>
      </c>
      <c r="V923" s="33" t="s">
        <v>753</v>
      </c>
    </row>
    <row r="924" spans="1:23" s="44" customFormat="1" ht="45.75" customHeight="1" x14ac:dyDescent="0.25">
      <c r="A924" s="25">
        <v>2</v>
      </c>
      <c r="B924" s="37" t="s">
        <v>786</v>
      </c>
      <c r="C924" s="25" t="s">
        <v>43</v>
      </c>
      <c r="D924" s="25">
        <v>1970</v>
      </c>
      <c r="E924" s="25" t="s">
        <v>39</v>
      </c>
      <c r="F924" s="25" t="s">
        <v>77</v>
      </c>
      <c r="G924" s="28">
        <v>2</v>
      </c>
      <c r="H924" s="28">
        <v>3</v>
      </c>
      <c r="I924" s="29">
        <v>742.4</v>
      </c>
      <c r="J924" s="29">
        <v>524.5</v>
      </c>
      <c r="K924" s="29">
        <v>298.60000000000002</v>
      </c>
      <c r="L924" s="30">
        <v>22</v>
      </c>
      <c r="M924" s="29">
        <f t="shared" si="238"/>
        <v>2108502.34</v>
      </c>
      <c r="N924" s="29">
        <v>0</v>
      </c>
      <c r="O924" s="29">
        <v>0</v>
      </c>
      <c r="P924" s="29">
        <v>0</v>
      </c>
      <c r="Q924" s="29">
        <f>'Таблица 3 '!C914</f>
        <v>2108502.34</v>
      </c>
      <c r="R924" s="29">
        <f t="shared" si="239"/>
        <v>2108502.34</v>
      </c>
      <c r="S924" s="29">
        <v>0</v>
      </c>
      <c r="T924" s="29">
        <f t="shared" si="232"/>
        <v>4020.023527168732</v>
      </c>
      <c r="U924" s="29">
        <f t="shared" si="236"/>
        <v>4020.023527168732</v>
      </c>
      <c r="V924" s="33" t="s">
        <v>753</v>
      </c>
    </row>
    <row r="925" spans="1:23" s="23" customFormat="1" ht="27" customHeight="1" x14ac:dyDescent="0.2">
      <c r="A925" s="326" t="s">
        <v>491</v>
      </c>
      <c r="B925" s="326"/>
      <c r="C925" s="20" t="s">
        <v>39</v>
      </c>
      <c r="D925" s="20" t="s">
        <v>39</v>
      </c>
      <c r="E925" s="62" t="s">
        <v>39</v>
      </c>
      <c r="F925" s="20" t="s">
        <v>39</v>
      </c>
      <c r="G925" s="20" t="s">
        <v>39</v>
      </c>
      <c r="H925" s="20" t="s">
        <v>39</v>
      </c>
      <c r="I925" s="60">
        <f t="shared" ref="I925:S925" si="240">SUM(I926:I930)</f>
        <v>10950.8</v>
      </c>
      <c r="J925" s="60">
        <f t="shared" si="240"/>
        <v>10121.58</v>
      </c>
      <c r="K925" s="60">
        <f t="shared" si="240"/>
        <v>2121.38</v>
      </c>
      <c r="L925" s="61">
        <f t="shared" si="240"/>
        <v>241</v>
      </c>
      <c r="M925" s="60">
        <f t="shared" si="240"/>
        <v>40900714.379999995</v>
      </c>
      <c r="N925" s="60">
        <f t="shared" si="240"/>
        <v>0</v>
      </c>
      <c r="O925" s="60">
        <f t="shared" si="240"/>
        <v>0</v>
      </c>
      <c r="P925" s="60">
        <f t="shared" si="240"/>
        <v>0</v>
      </c>
      <c r="Q925" s="60">
        <f t="shared" si="240"/>
        <v>40900714.379999995</v>
      </c>
      <c r="R925" s="60">
        <f t="shared" si="240"/>
        <v>40900714.379999995</v>
      </c>
      <c r="S925" s="60">
        <f t="shared" si="240"/>
        <v>0</v>
      </c>
      <c r="T925" s="24" t="s">
        <v>39</v>
      </c>
      <c r="U925" s="24" t="s">
        <v>39</v>
      </c>
      <c r="V925" s="62" t="s">
        <v>39</v>
      </c>
    </row>
    <row r="926" spans="1:23" s="44" customFormat="1" ht="47.45" customHeight="1" x14ac:dyDescent="0.25">
      <c r="A926" s="28">
        <v>1</v>
      </c>
      <c r="B926" s="71" t="s">
        <v>494</v>
      </c>
      <c r="C926" s="25" t="s">
        <v>43</v>
      </c>
      <c r="D926" s="28">
        <v>1973</v>
      </c>
      <c r="E926" s="63" t="s">
        <v>39</v>
      </c>
      <c r="F926" s="25" t="s">
        <v>77</v>
      </c>
      <c r="G926" s="28">
        <v>2</v>
      </c>
      <c r="H926" s="28">
        <v>2</v>
      </c>
      <c r="I926" s="29">
        <v>791.3</v>
      </c>
      <c r="J926" s="29">
        <v>672.88</v>
      </c>
      <c r="K926" s="29">
        <v>672.88</v>
      </c>
      <c r="L926" s="30">
        <v>18</v>
      </c>
      <c r="M926" s="29">
        <f t="shared" ref="M926:M930" si="241">SUM(N926:Q926)</f>
        <v>1874943.9900000002</v>
      </c>
      <c r="N926" s="29">
        <v>0</v>
      </c>
      <c r="O926" s="29">
        <v>0</v>
      </c>
      <c r="P926" s="29">
        <v>0</v>
      </c>
      <c r="Q926" s="29">
        <f>'Таблица 3 '!C916</f>
        <v>1874943.9900000002</v>
      </c>
      <c r="R926" s="29">
        <f t="shared" ref="R926:R930" si="242">Q926</f>
        <v>1874943.9900000002</v>
      </c>
      <c r="S926" s="29">
        <v>0</v>
      </c>
      <c r="T926" s="29">
        <f t="shared" si="232"/>
        <v>2786.4463054333614</v>
      </c>
      <c r="U926" s="29">
        <f t="shared" si="236"/>
        <v>2786.4463054333614</v>
      </c>
      <c r="V926" s="33" t="s">
        <v>753</v>
      </c>
    </row>
    <row r="927" spans="1:23" s="44" customFormat="1" ht="47.45" customHeight="1" x14ac:dyDescent="0.25">
      <c r="A927" s="28">
        <v>2</v>
      </c>
      <c r="B927" s="37" t="s">
        <v>787</v>
      </c>
      <c r="C927" s="25" t="s">
        <v>43</v>
      </c>
      <c r="D927" s="28">
        <v>1968</v>
      </c>
      <c r="E927" s="63" t="s">
        <v>39</v>
      </c>
      <c r="F927" s="25" t="s">
        <v>77</v>
      </c>
      <c r="G927" s="28">
        <v>2</v>
      </c>
      <c r="H927" s="28">
        <v>2</v>
      </c>
      <c r="I927" s="64">
        <v>792.9</v>
      </c>
      <c r="J927" s="64">
        <v>729.6</v>
      </c>
      <c r="K927" s="64">
        <v>729.6</v>
      </c>
      <c r="L927" s="64">
        <v>17</v>
      </c>
      <c r="M927" s="29">
        <f t="shared" si="241"/>
        <v>1277676.22</v>
      </c>
      <c r="N927" s="29">
        <v>0</v>
      </c>
      <c r="O927" s="29">
        <v>0</v>
      </c>
      <c r="P927" s="29">
        <v>0</v>
      </c>
      <c r="Q927" s="29">
        <f>'Таблица 3 '!C917</f>
        <v>1277676.22</v>
      </c>
      <c r="R927" s="29">
        <f t="shared" si="242"/>
        <v>1277676.22</v>
      </c>
      <c r="S927" s="29">
        <v>0</v>
      </c>
      <c r="T927" s="29">
        <f t="shared" si="232"/>
        <v>1751.2009594298245</v>
      </c>
      <c r="U927" s="29">
        <f t="shared" si="236"/>
        <v>1751.2009594298245</v>
      </c>
      <c r="V927" s="33" t="s">
        <v>753</v>
      </c>
    </row>
    <row r="928" spans="1:23" s="44" customFormat="1" ht="47.45" customHeight="1" x14ac:dyDescent="0.25">
      <c r="A928" s="28">
        <v>3</v>
      </c>
      <c r="B928" s="37" t="s">
        <v>788</v>
      </c>
      <c r="C928" s="25" t="s">
        <v>43</v>
      </c>
      <c r="D928" s="28">
        <v>1968</v>
      </c>
      <c r="E928" s="63" t="s">
        <v>39</v>
      </c>
      <c r="F928" s="25" t="s">
        <v>77</v>
      </c>
      <c r="G928" s="28">
        <v>2</v>
      </c>
      <c r="H928" s="28">
        <v>2</v>
      </c>
      <c r="I928" s="64">
        <v>781.9</v>
      </c>
      <c r="J928" s="64">
        <v>718.9</v>
      </c>
      <c r="K928" s="64">
        <v>718.9</v>
      </c>
      <c r="L928" s="64">
        <v>20</v>
      </c>
      <c r="M928" s="29">
        <f t="shared" si="241"/>
        <v>1262028.03</v>
      </c>
      <c r="N928" s="29">
        <v>0</v>
      </c>
      <c r="O928" s="29">
        <v>0</v>
      </c>
      <c r="P928" s="29">
        <v>0</v>
      </c>
      <c r="Q928" s="29">
        <f>'Таблица 3 '!C918</f>
        <v>1262028.03</v>
      </c>
      <c r="R928" s="29">
        <f t="shared" si="242"/>
        <v>1262028.03</v>
      </c>
      <c r="S928" s="29">
        <v>0</v>
      </c>
      <c r="T928" s="29">
        <f t="shared" si="232"/>
        <v>1755.4987202670748</v>
      </c>
      <c r="U928" s="29">
        <f t="shared" si="236"/>
        <v>1755.4987202670748</v>
      </c>
      <c r="V928" s="33" t="s">
        <v>753</v>
      </c>
    </row>
    <row r="929" spans="1:96" s="44" customFormat="1" ht="47.45" customHeight="1" x14ac:dyDescent="0.25">
      <c r="A929" s="28">
        <v>4</v>
      </c>
      <c r="B929" s="37" t="s">
        <v>719</v>
      </c>
      <c r="C929" s="25" t="s">
        <v>43</v>
      </c>
      <c r="D929" s="25">
        <v>1981</v>
      </c>
      <c r="E929" s="27" t="s">
        <v>39</v>
      </c>
      <c r="F929" s="25" t="s">
        <v>48</v>
      </c>
      <c r="G929" s="28">
        <v>5</v>
      </c>
      <c r="H929" s="28">
        <v>4</v>
      </c>
      <c r="I929" s="29">
        <v>3769</v>
      </c>
      <c r="J929" s="29">
        <v>3735</v>
      </c>
      <c r="K929" s="29">
        <v>0</v>
      </c>
      <c r="L929" s="30">
        <v>74</v>
      </c>
      <c r="M929" s="29">
        <f t="shared" si="241"/>
        <v>17032475.050000001</v>
      </c>
      <c r="N929" s="29">
        <v>0</v>
      </c>
      <c r="O929" s="29">
        <v>0</v>
      </c>
      <c r="P929" s="29">
        <v>0</v>
      </c>
      <c r="Q929" s="29">
        <f>'Таблица 3 '!C919</f>
        <v>17032475.050000001</v>
      </c>
      <c r="R929" s="29">
        <f t="shared" si="242"/>
        <v>17032475.050000001</v>
      </c>
      <c r="S929" s="29">
        <v>0</v>
      </c>
      <c r="T929" s="29">
        <f t="shared" si="232"/>
        <v>4560.234283801874</v>
      </c>
      <c r="U929" s="29">
        <f t="shared" si="236"/>
        <v>4560.234283801874</v>
      </c>
      <c r="V929" s="33" t="s">
        <v>753</v>
      </c>
    </row>
    <row r="930" spans="1:96" s="44" customFormat="1" ht="47.45" customHeight="1" x14ac:dyDescent="0.25">
      <c r="A930" s="28">
        <v>5</v>
      </c>
      <c r="B930" s="37" t="s">
        <v>720</v>
      </c>
      <c r="C930" s="25" t="s">
        <v>43</v>
      </c>
      <c r="D930" s="25">
        <v>1983</v>
      </c>
      <c r="E930" s="27" t="s">
        <v>39</v>
      </c>
      <c r="F930" s="25" t="s">
        <v>48</v>
      </c>
      <c r="G930" s="28">
        <v>5</v>
      </c>
      <c r="H930" s="28">
        <v>6</v>
      </c>
      <c r="I930" s="29">
        <v>4815.7</v>
      </c>
      <c r="J930" s="29">
        <v>4265.2</v>
      </c>
      <c r="K930" s="29">
        <v>0</v>
      </c>
      <c r="L930" s="30">
        <v>112</v>
      </c>
      <c r="M930" s="29">
        <f t="shared" si="241"/>
        <v>19453591.09</v>
      </c>
      <c r="N930" s="29">
        <v>0</v>
      </c>
      <c r="O930" s="29">
        <v>0</v>
      </c>
      <c r="P930" s="29">
        <v>0</v>
      </c>
      <c r="Q930" s="29">
        <f>'Таблица 3 '!C920</f>
        <v>19453591.09</v>
      </c>
      <c r="R930" s="29">
        <f t="shared" si="242"/>
        <v>19453591.09</v>
      </c>
      <c r="S930" s="29">
        <v>0</v>
      </c>
      <c r="T930" s="29">
        <f t="shared" si="232"/>
        <v>4561.003256588202</v>
      </c>
      <c r="U930" s="29">
        <f t="shared" si="236"/>
        <v>4561.003256588202</v>
      </c>
      <c r="V930" s="33" t="s">
        <v>753</v>
      </c>
    </row>
    <row r="931" spans="1:96" s="44" customFormat="1" ht="27" customHeight="1" x14ac:dyDescent="0.25">
      <c r="A931" s="322" t="s">
        <v>498</v>
      </c>
      <c r="B931" s="322"/>
      <c r="C931" s="78" t="s">
        <v>39</v>
      </c>
      <c r="D931" s="79" t="s">
        <v>39</v>
      </c>
      <c r="E931" s="80" t="s">
        <v>39</v>
      </c>
      <c r="F931" s="78" t="s">
        <v>39</v>
      </c>
      <c r="G931" s="81" t="s">
        <v>39</v>
      </c>
      <c r="H931" s="81" t="s">
        <v>39</v>
      </c>
      <c r="I931" s="66">
        <f t="shared" ref="I931:S931" si="243">SUM(I932:I933)</f>
        <v>1755</v>
      </c>
      <c r="J931" s="66">
        <f t="shared" si="243"/>
        <v>1502.9</v>
      </c>
      <c r="K931" s="66">
        <f t="shared" si="243"/>
        <v>1289.5</v>
      </c>
      <c r="L931" s="67">
        <f t="shared" si="243"/>
        <v>74</v>
      </c>
      <c r="M931" s="66">
        <f t="shared" si="243"/>
        <v>8917767.8000000007</v>
      </c>
      <c r="N931" s="66">
        <f t="shared" si="243"/>
        <v>0</v>
      </c>
      <c r="O931" s="66">
        <f t="shared" si="243"/>
        <v>0</v>
      </c>
      <c r="P931" s="66">
        <f t="shared" si="243"/>
        <v>0</v>
      </c>
      <c r="Q931" s="66">
        <f t="shared" si="243"/>
        <v>8917767.8000000007</v>
      </c>
      <c r="R931" s="66">
        <f t="shared" si="243"/>
        <v>8917767.8000000007</v>
      </c>
      <c r="S931" s="66">
        <f t="shared" si="243"/>
        <v>0</v>
      </c>
      <c r="T931" s="24" t="s">
        <v>39</v>
      </c>
      <c r="U931" s="24" t="s">
        <v>39</v>
      </c>
      <c r="V931" s="20" t="s">
        <v>39</v>
      </c>
      <c r="W931" s="23"/>
      <c r="X931" s="23"/>
      <c r="Y931" s="23"/>
      <c r="Z931" s="23"/>
      <c r="AA931" s="23"/>
      <c r="AB931" s="23"/>
      <c r="AC931" s="23"/>
      <c r="AD931" s="23"/>
      <c r="AE931" s="23"/>
      <c r="AF931" s="23"/>
      <c r="AG931" s="23"/>
      <c r="AH931" s="23"/>
      <c r="AI931" s="23"/>
      <c r="AJ931" s="23"/>
      <c r="AK931" s="23"/>
      <c r="AL931" s="23"/>
      <c r="AM931" s="23"/>
      <c r="AN931" s="23"/>
      <c r="AO931" s="23"/>
      <c r="AP931" s="23"/>
      <c r="AQ931" s="23"/>
      <c r="AR931" s="23"/>
      <c r="AS931" s="23"/>
      <c r="AT931" s="23"/>
      <c r="AU931" s="23"/>
      <c r="AV931" s="23"/>
      <c r="AW931" s="23"/>
      <c r="AX931" s="23"/>
      <c r="AY931" s="23"/>
      <c r="AZ931" s="23"/>
      <c r="BA931" s="23"/>
      <c r="BB931" s="23"/>
      <c r="BC931" s="23"/>
      <c r="BD931" s="23"/>
      <c r="BE931" s="23"/>
      <c r="BF931" s="23"/>
      <c r="BG931" s="23"/>
      <c r="BH931" s="23"/>
      <c r="BI931" s="23"/>
      <c r="BJ931" s="23"/>
      <c r="BK931" s="23"/>
      <c r="BL931" s="23"/>
      <c r="BM931" s="23"/>
      <c r="BN931" s="23"/>
      <c r="BO931" s="23"/>
      <c r="BP931" s="23"/>
      <c r="BQ931" s="23"/>
      <c r="BR931" s="23"/>
      <c r="BS931" s="23"/>
      <c r="BT931" s="23"/>
      <c r="BU931" s="23"/>
      <c r="BV931" s="23"/>
      <c r="BW931" s="23"/>
      <c r="BX931" s="23"/>
      <c r="BY931" s="23"/>
      <c r="BZ931" s="23"/>
      <c r="CA931" s="23"/>
      <c r="CB931" s="23"/>
      <c r="CC931" s="23"/>
      <c r="CD931" s="23"/>
      <c r="CE931" s="23"/>
      <c r="CF931" s="23"/>
      <c r="CG931" s="23"/>
      <c r="CH931" s="23"/>
      <c r="CI931" s="23"/>
      <c r="CJ931" s="23"/>
      <c r="CK931" s="23"/>
      <c r="CL931" s="23"/>
      <c r="CM931" s="23"/>
      <c r="CN931" s="23"/>
      <c r="CO931" s="23"/>
      <c r="CP931" s="23"/>
      <c r="CQ931" s="23"/>
      <c r="CR931" s="23"/>
    </row>
    <row r="932" spans="1:96" s="44" customFormat="1" ht="42" customHeight="1" x14ac:dyDescent="0.25">
      <c r="A932" s="25">
        <v>1</v>
      </c>
      <c r="B932" s="37" t="s">
        <v>789</v>
      </c>
      <c r="C932" s="25" t="s">
        <v>43</v>
      </c>
      <c r="D932" s="96">
        <v>1990</v>
      </c>
      <c r="E932" s="96" t="s">
        <v>39</v>
      </c>
      <c r="F932" s="137" t="s">
        <v>384</v>
      </c>
      <c r="G932" s="138">
        <v>2</v>
      </c>
      <c r="H932" s="138">
        <v>2</v>
      </c>
      <c r="I932" s="31">
        <v>1112.3</v>
      </c>
      <c r="J932" s="31">
        <v>946.7</v>
      </c>
      <c r="K932" s="31">
        <v>776.8</v>
      </c>
      <c r="L932" s="139">
        <v>28</v>
      </c>
      <c r="M932" s="29">
        <f t="shared" ref="M932:M933" si="244">SUM(N932:Q932)</f>
        <v>5640712.21</v>
      </c>
      <c r="N932" s="31">
        <v>0</v>
      </c>
      <c r="O932" s="31">
        <v>0</v>
      </c>
      <c r="P932" s="31">
        <v>0</v>
      </c>
      <c r="Q932" s="31">
        <f>'Таблица 3 '!C922</f>
        <v>5640712.21</v>
      </c>
      <c r="R932" s="31">
        <f t="shared" ref="R932:R933" si="245">Q932</f>
        <v>5640712.21</v>
      </c>
      <c r="S932" s="31">
        <v>0</v>
      </c>
      <c r="T932" s="29">
        <f t="shared" si="232"/>
        <v>5958.289014471321</v>
      </c>
      <c r="U932" s="29">
        <f t="shared" si="236"/>
        <v>5958.289014471321</v>
      </c>
      <c r="V932" s="33" t="s">
        <v>753</v>
      </c>
    </row>
    <row r="933" spans="1:96" s="44" customFormat="1" ht="42" customHeight="1" x14ac:dyDescent="0.25">
      <c r="A933" s="25">
        <v>2</v>
      </c>
      <c r="B933" s="37" t="s">
        <v>724</v>
      </c>
      <c r="C933" s="25" t="s">
        <v>43</v>
      </c>
      <c r="D933" s="96" t="s">
        <v>126</v>
      </c>
      <c r="E933" s="96" t="s">
        <v>39</v>
      </c>
      <c r="F933" s="25" t="s">
        <v>77</v>
      </c>
      <c r="G933" s="138">
        <v>2</v>
      </c>
      <c r="H933" s="138">
        <v>2</v>
      </c>
      <c r="I933" s="31">
        <v>642.70000000000005</v>
      </c>
      <c r="J933" s="31">
        <v>556.20000000000005</v>
      </c>
      <c r="K933" s="31">
        <v>512.70000000000005</v>
      </c>
      <c r="L933" s="139">
        <v>46</v>
      </c>
      <c r="M933" s="29">
        <f t="shared" si="244"/>
        <v>3277055.59</v>
      </c>
      <c r="N933" s="31">
        <v>0</v>
      </c>
      <c r="O933" s="31">
        <v>0</v>
      </c>
      <c r="P933" s="31">
        <v>0</v>
      </c>
      <c r="Q933" s="31">
        <f>'Таблица 3 '!C923</f>
        <v>3277055.59</v>
      </c>
      <c r="R933" s="31">
        <f t="shared" si="245"/>
        <v>3277055.59</v>
      </c>
      <c r="S933" s="31">
        <v>0</v>
      </c>
      <c r="T933" s="29">
        <f t="shared" si="232"/>
        <v>5891.8654980222937</v>
      </c>
      <c r="U933" s="29">
        <f t="shared" si="236"/>
        <v>5891.8654980222937</v>
      </c>
      <c r="V933" s="33" t="s">
        <v>753</v>
      </c>
    </row>
    <row r="934" spans="1:96" s="44" customFormat="1" ht="31.5" customHeight="1" x14ac:dyDescent="0.25">
      <c r="A934" s="322" t="s">
        <v>503</v>
      </c>
      <c r="B934" s="322"/>
      <c r="C934" s="18" t="s">
        <v>39</v>
      </c>
      <c r="D934" s="18" t="s">
        <v>39</v>
      </c>
      <c r="E934" s="19" t="s">
        <v>39</v>
      </c>
      <c r="F934" s="18" t="s">
        <v>39</v>
      </c>
      <c r="G934" s="20" t="s">
        <v>39</v>
      </c>
      <c r="H934" s="20" t="s">
        <v>39</v>
      </c>
      <c r="I934" s="60">
        <f t="shared" ref="I934:S934" si="246">SUM(I935:I948)</f>
        <v>34397.42</v>
      </c>
      <c r="J934" s="60">
        <f t="shared" si="246"/>
        <v>26782.98</v>
      </c>
      <c r="K934" s="60">
        <f t="shared" si="246"/>
        <v>8085.58</v>
      </c>
      <c r="L934" s="61">
        <f t="shared" si="246"/>
        <v>660</v>
      </c>
      <c r="M934" s="60">
        <f t="shared" si="246"/>
        <v>127631734.08000001</v>
      </c>
      <c r="N934" s="60">
        <f t="shared" si="246"/>
        <v>0</v>
      </c>
      <c r="O934" s="60">
        <f t="shared" si="246"/>
        <v>0</v>
      </c>
      <c r="P934" s="60">
        <f t="shared" si="246"/>
        <v>0</v>
      </c>
      <c r="Q934" s="60">
        <f t="shared" si="246"/>
        <v>127631734.08000001</v>
      </c>
      <c r="R934" s="60">
        <f t="shared" si="246"/>
        <v>127631734.08000001</v>
      </c>
      <c r="S934" s="60">
        <f t="shared" si="246"/>
        <v>0</v>
      </c>
      <c r="T934" s="24" t="s">
        <v>40</v>
      </c>
      <c r="U934" s="24" t="s">
        <v>40</v>
      </c>
      <c r="V934" s="20" t="s">
        <v>40</v>
      </c>
    </row>
    <row r="935" spans="1:96" s="44" customFormat="1" ht="45" customHeight="1" x14ac:dyDescent="0.25">
      <c r="A935" s="25">
        <v>1</v>
      </c>
      <c r="B935" s="37" t="s">
        <v>790</v>
      </c>
      <c r="C935" s="25" t="s">
        <v>43</v>
      </c>
      <c r="D935" s="25">
        <v>1968</v>
      </c>
      <c r="E935" s="27">
        <v>2019</v>
      </c>
      <c r="F935" s="25" t="s">
        <v>44</v>
      </c>
      <c r="G935" s="28">
        <v>4</v>
      </c>
      <c r="H935" s="28">
        <v>2</v>
      </c>
      <c r="I935" s="29">
        <v>1324.4</v>
      </c>
      <c r="J935" s="29">
        <v>1278.7</v>
      </c>
      <c r="K935" s="29">
        <v>1278.7</v>
      </c>
      <c r="L935" s="30">
        <v>34</v>
      </c>
      <c r="M935" s="29">
        <f t="shared" ref="M935:M948" si="247">SUM(N935:Q935)</f>
        <v>257294.64</v>
      </c>
      <c r="N935" s="29">
        <v>0</v>
      </c>
      <c r="O935" s="29">
        <v>0</v>
      </c>
      <c r="P935" s="29">
        <v>0</v>
      </c>
      <c r="Q935" s="29">
        <f>'Таблица 3 '!C925</f>
        <v>257294.64</v>
      </c>
      <c r="R935" s="29">
        <f t="shared" ref="R935:R948" si="248">Q935</f>
        <v>257294.64</v>
      </c>
      <c r="S935" s="29">
        <v>0</v>
      </c>
      <c r="T935" s="29">
        <f t="shared" si="232"/>
        <v>201.21579729412684</v>
      </c>
      <c r="U935" s="29">
        <f t="shared" si="236"/>
        <v>201.21579729412684</v>
      </c>
      <c r="V935" s="33" t="s">
        <v>753</v>
      </c>
    </row>
    <row r="936" spans="1:96" s="44" customFormat="1" ht="45" customHeight="1" x14ac:dyDescent="0.25">
      <c r="A936" s="25">
        <v>2</v>
      </c>
      <c r="B936" s="38" t="s">
        <v>791</v>
      </c>
      <c r="C936" s="25" t="s">
        <v>43</v>
      </c>
      <c r="D936" s="25">
        <v>1990</v>
      </c>
      <c r="E936" s="27" t="s">
        <v>39</v>
      </c>
      <c r="F936" s="25" t="s">
        <v>48</v>
      </c>
      <c r="G936" s="28">
        <v>5</v>
      </c>
      <c r="H936" s="28">
        <v>6</v>
      </c>
      <c r="I936" s="32">
        <v>5102.5</v>
      </c>
      <c r="J936" s="32">
        <v>5101.7</v>
      </c>
      <c r="K936" s="32">
        <v>0</v>
      </c>
      <c r="L936" s="35">
        <v>158</v>
      </c>
      <c r="M936" s="29">
        <f t="shared" si="247"/>
        <v>15946166.02</v>
      </c>
      <c r="N936" s="29">
        <v>0</v>
      </c>
      <c r="O936" s="29">
        <v>0</v>
      </c>
      <c r="P936" s="29">
        <v>0</v>
      </c>
      <c r="Q936" s="29">
        <f>'Таблица 3 '!C926</f>
        <v>15946166.02</v>
      </c>
      <c r="R936" s="29">
        <f t="shared" si="248"/>
        <v>15946166.02</v>
      </c>
      <c r="S936" s="29">
        <v>0</v>
      </c>
      <c r="T936" s="29">
        <f t="shared" si="232"/>
        <v>3125.6573338298999</v>
      </c>
      <c r="U936" s="29">
        <f t="shared" si="236"/>
        <v>3125.6573338298999</v>
      </c>
      <c r="V936" s="33" t="s">
        <v>753</v>
      </c>
    </row>
    <row r="937" spans="1:96" s="44" customFormat="1" ht="45" customHeight="1" x14ac:dyDescent="0.25">
      <c r="A937" s="25">
        <v>3</v>
      </c>
      <c r="B937" s="38" t="s">
        <v>730</v>
      </c>
      <c r="C937" s="94" t="s">
        <v>43</v>
      </c>
      <c r="D937" s="25">
        <v>1980</v>
      </c>
      <c r="E937" s="27" t="s">
        <v>39</v>
      </c>
      <c r="F937" s="25" t="s">
        <v>44</v>
      </c>
      <c r="G937" s="28">
        <v>2</v>
      </c>
      <c r="H937" s="28">
        <v>3</v>
      </c>
      <c r="I937" s="29">
        <v>1580.5</v>
      </c>
      <c r="J937" s="29">
        <v>830.7</v>
      </c>
      <c r="K937" s="29">
        <v>785.4</v>
      </c>
      <c r="L937" s="30">
        <v>50</v>
      </c>
      <c r="M937" s="29">
        <f t="shared" si="247"/>
        <v>2225300.3800000004</v>
      </c>
      <c r="N937" s="29">
        <v>0</v>
      </c>
      <c r="O937" s="29">
        <v>0</v>
      </c>
      <c r="P937" s="29">
        <v>0</v>
      </c>
      <c r="Q937" s="29">
        <f>'Таблица 3 '!C927</f>
        <v>2225300.3800000004</v>
      </c>
      <c r="R937" s="29">
        <f t="shared" si="248"/>
        <v>2225300.3800000004</v>
      </c>
      <c r="S937" s="29">
        <v>0</v>
      </c>
      <c r="T937" s="29">
        <f t="shared" si="232"/>
        <v>2678.8255447213196</v>
      </c>
      <c r="U937" s="29">
        <f t="shared" si="236"/>
        <v>2678.8255447213196</v>
      </c>
      <c r="V937" s="33" t="s">
        <v>753</v>
      </c>
    </row>
    <row r="938" spans="1:96" s="44" customFormat="1" ht="45" customHeight="1" x14ac:dyDescent="0.25">
      <c r="A938" s="25">
        <v>4</v>
      </c>
      <c r="B938" s="38" t="s">
        <v>510</v>
      </c>
      <c r="C938" s="94" t="s">
        <v>43</v>
      </c>
      <c r="D938" s="25">
        <v>1971</v>
      </c>
      <c r="E938" s="27">
        <v>2021</v>
      </c>
      <c r="F938" s="25" t="s">
        <v>44</v>
      </c>
      <c r="G938" s="28">
        <v>2</v>
      </c>
      <c r="H938" s="28">
        <v>2</v>
      </c>
      <c r="I938" s="29">
        <v>1200.9000000000001</v>
      </c>
      <c r="J938" s="29">
        <v>321.60000000000002</v>
      </c>
      <c r="K938" s="29">
        <v>256.60000000000002</v>
      </c>
      <c r="L938" s="30">
        <v>18</v>
      </c>
      <c r="M938" s="29">
        <f t="shared" si="247"/>
        <v>2960281.95</v>
      </c>
      <c r="N938" s="29">
        <v>0</v>
      </c>
      <c r="O938" s="29">
        <v>0</v>
      </c>
      <c r="P938" s="29">
        <v>0</v>
      </c>
      <c r="Q938" s="29">
        <f>'Таблица 3 '!C928</f>
        <v>2960281.95</v>
      </c>
      <c r="R938" s="29">
        <f t="shared" si="248"/>
        <v>2960281.95</v>
      </c>
      <c r="S938" s="29">
        <v>0</v>
      </c>
      <c r="T938" s="29">
        <f t="shared" si="232"/>
        <v>9204.8568097014922</v>
      </c>
      <c r="U938" s="29">
        <f t="shared" si="236"/>
        <v>9204.8568097014922</v>
      </c>
      <c r="V938" s="33" t="s">
        <v>753</v>
      </c>
    </row>
    <row r="939" spans="1:96" s="44" customFormat="1" ht="45" customHeight="1" x14ac:dyDescent="0.25">
      <c r="A939" s="25">
        <v>5</v>
      </c>
      <c r="B939" s="64" t="s">
        <v>792</v>
      </c>
      <c r="C939" s="25" t="s">
        <v>43</v>
      </c>
      <c r="D939" s="25">
        <v>1973</v>
      </c>
      <c r="E939" s="27">
        <v>2024</v>
      </c>
      <c r="F939" s="25" t="s">
        <v>242</v>
      </c>
      <c r="G939" s="28">
        <v>2</v>
      </c>
      <c r="H939" s="28">
        <v>3</v>
      </c>
      <c r="I939" s="29">
        <v>829.4</v>
      </c>
      <c r="J939" s="29">
        <v>745.78</v>
      </c>
      <c r="K939" s="29">
        <v>745.78</v>
      </c>
      <c r="L939" s="30">
        <v>45</v>
      </c>
      <c r="M939" s="29">
        <f t="shared" si="247"/>
        <v>1541119.19</v>
      </c>
      <c r="N939" s="29">
        <v>0</v>
      </c>
      <c r="O939" s="29">
        <v>0</v>
      </c>
      <c r="P939" s="29">
        <v>0</v>
      </c>
      <c r="Q939" s="29">
        <f>'Таблица 3 '!C929</f>
        <v>1541119.19</v>
      </c>
      <c r="R939" s="29">
        <f t="shared" si="248"/>
        <v>1541119.19</v>
      </c>
      <c r="S939" s="29">
        <v>0</v>
      </c>
      <c r="T939" s="29">
        <v>2085</v>
      </c>
      <c r="U939" s="29">
        <v>2085</v>
      </c>
      <c r="V939" s="33" t="s">
        <v>753</v>
      </c>
    </row>
    <row r="940" spans="1:96" s="44" customFormat="1" ht="45" customHeight="1" x14ac:dyDescent="0.25">
      <c r="A940" s="25">
        <v>6</v>
      </c>
      <c r="B940" s="64" t="s">
        <v>793</v>
      </c>
      <c r="C940" s="25" t="s">
        <v>43</v>
      </c>
      <c r="D940" s="28">
        <v>1975</v>
      </c>
      <c r="E940" s="63" t="s">
        <v>39</v>
      </c>
      <c r="F940" s="28" t="s">
        <v>48</v>
      </c>
      <c r="G940" s="28">
        <v>2</v>
      </c>
      <c r="H940" s="28">
        <v>3</v>
      </c>
      <c r="I940" s="29">
        <v>1194</v>
      </c>
      <c r="J940" s="29">
        <v>712.4</v>
      </c>
      <c r="K940" s="29">
        <v>604.79999999999995</v>
      </c>
      <c r="L940" s="30">
        <v>31</v>
      </c>
      <c r="M940" s="29">
        <f t="shared" si="247"/>
        <v>3377729.76</v>
      </c>
      <c r="N940" s="29">
        <v>0</v>
      </c>
      <c r="O940" s="29">
        <v>0</v>
      </c>
      <c r="P940" s="29">
        <v>0</v>
      </c>
      <c r="Q940" s="29">
        <f>'Таблица 3 '!C930</f>
        <v>3377729.76</v>
      </c>
      <c r="R940" s="29">
        <f t="shared" si="248"/>
        <v>3377729.76</v>
      </c>
      <c r="S940" s="29">
        <v>0</v>
      </c>
      <c r="T940" s="29">
        <f t="shared" si="232"/>
        <v>4741.3387984278497</v>
      </c>
      <c r="U940" s="29">
        <f t="shared" si="236"/>
        <v>4741.3387984278497</v>
      </c>
      <c r="V940" s="33" t="s">
        <v>753</v>
      </c>
    </row>
    <row r="941" spans="1:96" s="44" customFormat="1" ht="45" customHeight="1" x14ac:dyDescent="0.25">
      <c r="A941" s="25">
        <v>7</v>
      </c>
      <c r="B941" s="64" t="s">
        <v>738</v>
      </c>
      <c r="C941" s="25" t="s">
        <v>43</v>
      </c>
      <c r="D941" s="28">
        <v>1983</v>
      </c>
      <c r="E941" s="63" t="s">
        <v>39</v>
      </c>
      <c r="F941" s="28" t="s">
        <v>48</v>
      </c>
      <c r="G941" s="28">
        <v>5</v>
      </c>
      <c r="H941" s="28">
        <v>6</v>
      </c>
      <c r="I941" s="29">
        <v>5768.6</v>
      </c>
      <c r="J941" s="29">
        <v>4414.3</v>
      </c>
      <c r="K941" s="29">
        <v>4414.3</v>
      </c>
      <c r="L941" s="30">
        <v>160</v>
      </c>
      <c r="M941" s="29">
        <f t="shared" si="247"/>
        <v>23299147.84</v>
      </c>
      <c r="N941" s="29">
        <v>0</v>
      </c>
      <c r="O941" s="29">
        <v>0</v>
      </c>
      <c r="P941" s="29">
        <v>0</v>
      </c>
      <c r="Q941" s="29">
        <f>'Таблица 3 '!C931</f>
        <v>23299147.84</v>
      </c>
      <c r="R941" s="29">
        <f t="shared" si="248"/>
        <v>23299147.84</v>
      </c>
      <c r="S941" s="29">
        <v>0</v>
      </c>
      <c r="T941" s="29">
        <f t="shared" si="232"/>
        <v>5278.1070248963597</v>
      </c>
      <c r="U941" s="29">
        <f t="shared" si="236"/>
        <v>5278.1070248963597</v>
      </c>
      <c r="V941" s="33" t="s">
        <v>753</v>
      </c>
    </row>
    <row r="942" spans="1:96" s="44" customFormat="1" ht="45" customHeight="1" x14ac:dyDescent="0.25">
      <c r="A942" s="25">
        <v>8</v>
      </c>
      <c r="B942" s="38" t="s">
        <v>733</v>
      </c>
      <c r="C942" s="94" t="s">
        <v>43</v>
      </c>
      <c r="D942" s="28">
        <v>1985</v>
      </c>
      <c r="E942" s="63" t="s">
        <v>39</v>
      </c>
      <c r="F942" s="25" t="s">
        <v>77</v>
      </c>
      <c r="G942" s="28">
        <v>5</v>
      </c>
      <c r="H942" s="28">
        <v>4</v>
      </c>
      <c r="I942" s="29">
        <v>2875.86</v>
      </c>
      <c r="J942" s="29">
        <v>2868</v>
      </c>
      <c r="K942" s="29">
        <v>0</v>
      </c>
      <c r="L942" s="30">
        <v>60</v>
      </c>
      <c r="M942" s="29">
        <f t="shared" si="247"/>
        <v>16800610.100000001</v>
      </c>
      <c r="N942" s="29">
        <v>0</v>
      </c>
      <c r="O942" s="29">
        <v>0</v>
      </c>
      <c r="P942" s="29">
        <v>0</v>
      </c>
      <c r="Q942" s="29">
        <f>'Таблица 3 '!C932</f>
        <v>16800610.100000001</v>
      </c>
      <c r="R942" s="29">
        <f t="shared" si="248"/>
        <v>16800610.100000001</v>
      </c>
      <c r="S942" s="29">
        <v>0</v>
      </c>
      <c r="T942" s="29">
        <f t="shared" si="232"/>
        <v>5857.953312412832</v>
      </c>
      <c r="U942" s="29">
        <f t="shared" si="236"/>
        <v>5857.953312412832</v>
      </c>
      <c r="V942" s="33" t="s">
        <v>569</v>
      </c>
    </row>
    <row r="943" spans="1:96" s="44" customFormat="1" ht="45" customHeight="1" x14ac:dyDescent="0.25">
      <c r="A943" s="25">
        <v>9</v>
      </c>
      <c r="B943" s="38" t="s">
        <v>734</v>
      </c>
      <c r="C943" s="94" t="s">
        <v>43</v>
      </c>
      <c r="D943" s="28">
        <v>1996</v>
      </c>
      <c r="E943" s="63" t="s">
        <v>39</v>
      </c>
      <c r="F943" s="25" t="s">
        <v>563</v>
      </c>
      <c r="G943" s="28">
        <v>2</v>
      </c>
      <c r="H943" s="28">
        <v>2</v>
      </c>
      <c r="I943" s="29">
        <v>618</v>
      </c>
      <c r="J943" s="29">
        <v>589.6</v>
      </c>
      <c r="K943" s="29">
        <v>0</v>
      </c>
      <c r="L943" s="30">
        <v>8</v>
      </c>
      <c r="M943" s="29">
        <f t="shared" si="247"/>
        <v>3932512.0999999996</v>
      </c>
      <c r="N943" s="29">
        <v>0</v>
      </c>
      <c r="O943" s="29">
        <v>0</v>
      </c>
      <c r="P943" s="29">
        <v>0</v>
      </c>
      <c r="Q943" s="29">
        <f>'Таблица 3 '!C933</f>
        <v>3932512.0999999996</v>
      </c>
      <c r="R943" s="29">
        <f t="shared" si="248"/>
        <v>3932512.0999999996</v>
      </c>
      <c r="S943" s="29">
        <v>0</v>
      </c>
      <c r="T943" s="29">
        <f t="shared" si="232"/>
        <v>6669.7966417910438</v>
      </c>
      <c r="U943" s="29">
        <f t="shared" si="236"/>
        <v>6669.7966417910438</v>
      </c>
      <c r="V943" s="33" t="s">
        <v>569</v>
      </c>
    </row>
    <row r="944" spans="1:96" s="44" customFormat="1" ht="45" customHeight="1" x14ac:dyDescent="0.25">
      <c r="A944" s="25">
        <v>10</v>
      </c>
      <c r="B944" s="38" t="s">
        <v>735</v>
      </c>
      <c r="C944" s="94" t="s">
        <v>43</v>
      </c>
      <c r="D944" s="28">
        <v>2005</v>
      </c>
      <c r="E944" s="63" t="s">
        <v>39</v>
      </c>
      <c r="F944" s="25" t="s">
        <v>77</v>
      </c>
      <c r="G944" s="28">
        <v>2</v>
      </c>
      <c r="H944" s="28">
        <v>2</v>
      </c>
      <c r="I944" s="29">
        <v>743.56</v>
      </c>
      <c r="J944" s="29">
        <v>570.79999999999995</v>
      </c>
      <c r="K944" s="29">
        <v>0</v>
      </c>
      <c r="L944" s="30">
        <v>12</v>
      </c>
      <c r="M944" s="29">
        <f t="shared" si="247"/>
        <v>3824057.5</v>
      </c>
      <c r="N944" s="29">
        <v>0</v>
      </c>
      <c r="O944" s="29">
        <v>0</v>
      </c>
      <c r="P944" s="29">
        <v>0</v>
      </c>
      <c r="Q944" s="29">
        <f>'Таблица 3 '!C934</f>
        <v>3824057.5</v>
      </c>
      <c r="R944" s="29">
        <f t="shared" si="248"/>
        <v>3824057.5</v>
      </c>
      <c r="S944" s="29">
        <v>0</v>
      </c>
      <c r="T944" s="29">
        <f t="shared" si="232"/>
        <v>6699.4700420462514</v>
      </c>
      <c r="U944" s="29">
        <f t="shared" si="236"/>
        <v>6699.4700420462514</v>
      </c>
      <c r="V944" s="33" t="s">
        <v>569</v>
      </c>
    </row>
    <row r="945" spans="1:22" s="44" customFormat="1" ht="45" customHeight="1" x14ac:dyDescent="0.25">
      <c r="A945" s="25">
        <v>11</v>
      </c>
      <c r="B945" s="38" t="s">
        <v>736</v>
      </c>
      <c r="C945" s="94" t="s">
        <v>43</v>
      </c>
      <c r="D945" s="28">
        <v>1987</v>
      </c>
      <c r="E945" s="63" t="s">
        <v>39</v>
      </c>
      <c r="F945" s="25" t="s">
        <v>77</v>
      </c>
      <c r="G945" s="28">
        <v>2</v>
      </c>
      <c r="H945" s="28">
        <v>2</v>
      </c>
      <c r="I945" s="29">
        <v>767.4</v>
      </c>
      <c r="J945" s="29">
        <v>560</v>
      </c>
      <c r="K945" s="29">
        <v>0</v>
      </c>
      <c r="L945" s="30">
        <v>12</v>
      </c>
      <c r="M945" s="29">
        <f t="shared" si="247"/>
        <v>4429830.9400000004</v>
      </c>
      <c r="N945" s="29">
        <v>0</v>
      </c>
      <c r="O945" s="29">
        <v>0</v>
      </c>
      <c r="P945" s="29">
        <v>0</v>
      </c>
      <c r="Q945" s="29">
        <f>'Таблица 3 '!C935</f>
        <v>4429830.9400000004</v>
      </c>
      <c r="R945" s="29">
        <f t="shared" si="248"/>
        <v>4429830.9400000004</v>
      </c>
      <c r="S945" s="29">
        <v>0</v>
      </c>
      <c r="T945" s="29">
        <f t="shared" si="232"/>
        <v>7910.4123928571435</v>
      </c>
      <c r="U945" s="29">
        <f t="shared" si="236"/>
        <v>7910.4123928571435</v>
      </c>
      <c r="V945" s="33" t="s">
        <v>569</v>
      </c>
    </row>
    <row r="946" spans="1:22" s="44" customFormat="1" ht="45" customHeight="1" x14ac:dyDescent="0.25">
      <c r="A946" s="25">
        <v>12</v>
      </c>
      <c r="B946" s="38" t="s">
        <v>737</v>
      </c>
      <c r="C946" s="94" t="s">
        <v>43</v>
      </c>
      <c r="D946" s="28">
        <v>1990</v>
      </c>
      <c r="E946" s="63" t="s">
        <v>39</v>
      </c>
      <c r="F946" s="25" t="s">
        <v>77</v>
      </c>
      <c r="G946" s="28">
        <v>5</v>
      </c>
      <c r="H946" s="28">
        <v>4</v>
      </c>
      <c r="I946" s="29">
        <v>4493</v>
      </c>
      <c r="J946" s="29">
        <v>2792.1</v>
      </c>
      <c r="K946" s="29">
        <v>0</v>
      </c>
      <c r="L946" s="30">
        <v>60</v>
      </c>
      <c r="M946" s="29">
        <f t="shared" si="247"/>
        <v>12916971.32</v>
      </c>
      <c r="N946" s="29">
        <v>0</v>
      </c>
      <c r="O946" s="29">
        <v>0</v>
      </c>
      <c r="P946" s="29">
        <v>0</v>
      </c>
      <c r="Q946" s="29">
        <f>'Таблица 3 '!C936</f>
        <v>12916971.32</v>
      </c>
      <c r="R946" s="29">
        <f t="shared" si="248"/>
        <v>12916971.32</v>
      </c>
      <c r="S946" s="29">
        <v>0</v>
      </c>
      <c r="T946" s="29">
        <f t="shared" si="232"/>
        <v>4626.2566956770888</v>
      </c>
      <c r="U946" s="29">
        <f t="shared" si="236"/>
        <v>4626.2566956770888</v>
      </c>
      <c r="V946" s="33" t="s">
        <v>569</v>
      </c>
    </row>
    <row r="947" spans="1:22" s="44" customFormat="1" ht="45" customHeight="1" x14ac:dyDescent="0.25">
      <c r="A947" s="25">
        <v>13</v>
      </c>
      <c r="B947" s="38" t="s">
        <v>739</v>
      </c>
      <c r="C947" s="25" t="s">
        <v>43</v>
      </c>
      <c r="D947" s="28">
        <v>1979</v>
      </c>
      <c r="E947" s="63" t="s">
        <v>39</v>
      </c>
      <c r="F947" s="25" t="s">
        <v>44</v>
      </c>
      <c r="G947" s="28">
        <v>2</v>
      </c>
      <c r="H947" s="28">
        <v>2</v>
      </c>
      <c r="I947" s="32">
        <v>3987.8</v>
      </c>
      <c r="J947" s="32">
        <v>3128.4</v>
      </c>
      <c r="K947" s="32">
        <v>0</v>
      </c>
      <c r="L947" s="35">
        <v>6</v>
      </c>
      <c r="M947" s="29">
        <f t="shared" si="247"/>
        <v>18163697.670000002</v>
      </c>
      <c r="N947" s="29">
        <v>0</v>
      </c>
      <c r="O947" s="29">
        <v>0</v>
      </c>
      <c r="P947" s="29">
        <v>0</v>
      </c>
      <c r="Q947" s="29">
        <f>'Таблица 3 '!C937</f>
        <v>18163697.670000002</v>
      </c>
      <c r="R947" s="29">
        <f t="shared" si="248"/>
        <v>18163697.670000002</v>
      </c>
      <c r="S947" s="29">
        <v>0</v>
      </c>
      <c r="T947" s="29">
        <f t="shared" si="232"/>
        <v>5806.0662543153057</v>
      </c>
      <c r="U947" s="29">
        <f t="shared" si="236"/>
        <v>5806.0662543153057</v>
      </c>
      <c r="V947" s="33" t="s">
        <v>569</v>
      </c>
    </row>
    <row r="948" spans="1:22" s="44" customFormat="1" ht="45" customHeight="1" x14ac:dyDescent="0.25">
      <c r="A948" s="25">
        <v>14</v>
      </c>
      <c r="B948" s="38" t="s">
        <v>740</v>
      </c>
      <c r="C948" s="25" t="s">
        <v>43</v>
      </c>
      <c r="D948" s="28">
        <v>1985</v>
      </c>
      <c r="E948" s="63" t="s">
        <v>39</v>
      </c>
      <c r="F948" s="25" t="s">
        <v>44</v>
      </c>
      <c r="G948" s="28">
        <v>2</v>
      </c>
      <c r="H948" s="28">
        <v>2</v>
      </c>
      <c r="I948" s="32">
        <v>3911.5</v>
      </c>
      <c r="J948" s="32">
        <v>2868.9</v>
      </c>
      <c r="K948" s="32">
        <v>0</v>
      </c>
      <c r="L948" s="35">
        <v>6</v>
      </c>
      <c r="M948" s="29">
        <f t="shared" si="247"/>
        <v>17957014.670000002</v>
      </c>
      <c r="N948" s="29">
        <v>0</v>
      </c>
      <c r="O948" s="29">
        <v>0</v>
      </c>
      <c r="P948" s="29">
        <v>0</v>
      </c>
      <c r="Q948" s="29">
        <f>'Таблица 3 '!C938</f>
        <v>17957014.670000002</v>
      </c>
      <c r="R948" s="29">
        <f t="shared" si="248"/>
        <v>17957014.670000002</v>
      </c>
      <c r="S948" s="29">
        <v>0</v>
      </c>
      <c r="T948" s="29">
        <f t="shared" si="232"/>
        <v>6259.198532538604</v>
      </c>
      <c r="U948" s="29">
        <f t="shared" si="236"/>
        <v>6259.198532538604</v>
      </c>
      <c r="V948" s="33" t="s">
        <v>569</v>
      </c>
    </row>
    <row r="949" spans="1:22" s="44" customFormat="1" ht="27" customHeight="1" x14ac:dyDescent="0.25">
      <c r="A949" s="322" t="s">
        <v>516</v>
      </c>
      <c r="B949" s="322"/>
      <c r="C949" s="78" t="s">
        <v>39</v>
      </c>
      <c r="D949" s="79" t="s">
        <v>39</v>
      </c>
      <c r="E949" s="80" t="s">
        <v>39</v>
      </c>
      <c r="F949" s="78" t="s">
        <v>39</v>
      </c>
      <c r="G949" s="81" t="s">
        <v>39</v>
      </c>
      <c r="H949" s="81" t="s">
        <v>39</v>
      </c>
      <c r="I949" s="60">
        <f t="shared" ref="I949:S949" si="249">SUM(I950:I956)</f>
        <v>14337.000000000002</v>
      </c>
      <c r="J949" s="60">
        <f t="shared" si="249"/>
        <v>13257.119999999999</v>
      </c>
      <c r="K949" s="60">
        <f t="shared" si="249"/>
        <v>12319.22</v>
      </c>
      <c r="L949" s="61">
        <f t="shared" si="249"/>
        <v>659</v>
      </c>
      <c r="M949" s="60">
        <f t="shared" si="249"/>
        <v>39493254.040000007</v>
      </c>
      <c r="N949" s="60">
        <f t="shared" si="249"/>
        <v>0</v>
      </c>
      <c r="O949" s="60">
        <f t="shared" si="249"/>
        <v>0</v>
      </c>
      <c r="P949" s="60">
        <f t="shared" si="249"/>
        <v>0</v>
      </c>
      <c r="Q949" s="60">
        <f t="shared" si="249"/>
        <v>39493254.040000007</v>
      </c>
      <c r="R949" s="60">
        <f t="shared" si="249"/>
        <v>39493254.040000007</v>
      </c>
      <c r="S949" s="60">
        <f t="shared" si="249"/>
        <v>0</v>
      </c>
      <c r="T949" s="24" t="s">
        <v>39</v>
      </c>
      <c r="U949" s="121" t="s">
        <v>39</v>
      </c>
      <c r="V949" s="62" t="s">
        <v>39</v>
      </c>
    </row>
    <row r="950" spans="1:22" s="44" customFormat="1" ht="47.25" customHeight="1" x14ac:dyDescent="0.25">
      <c r="A950" s="25">
        <v>1</v>
      </c>
      <c r="B950" s="26" t="s">
        <v>532</v>
      </c>
      <c r="C950" s="25" t="s">
        <v>43</v>
      </c>
      <c r="D950" s="27" t="s">
        <v>205</v>
      </c>
      <c r="E950" s="80" t="s">
        <v>39</v>
      </c>
      <c r="F950" s="25" t="s">
        <v>44</v>
      </c>
      <c r="G950" s="28">
        <v>5</v>
      </c>
      <c r="H950" s="28">
        <v>4</v>
      </c>
      <c r="I950" s="89">
        <v>2855.7</v>
      </c>
      <c r="J950" s="89">
        <v>2657.2</v>
      </c>
      <c r="K950" s="89">
        <v>2657.2</v>
      </c>
      <c r="L950" s="90">
        <v>180</v>
      </c>
      <c r="M950" s="29">
        <f t="shared" ref="M950:M956" si="250">SUM(N950:Q950)</f>
        <v>6958781.1000000006</v>
      </c>
      <c r="N950" s="29">
        <v>0</v>
      </c>
      <c r="O950" s="29">
        <v>0</v>
      </c>
      <c r="P950" s="29">
        <v>0</v>
      </c>
      <c r="Q950" s="31">
        <f>'Таблица 3 '!C940</f>
        <v>6958781.1000000006</v>
      </c>
      <c r="R950" s="29">
        <f t="shared" ref="R950:R956" si="251">Q950</f>
        <v>6958781.1000000006</v>
      </c>
      <c r="S950" s="29">
        <v>0</v>
      </c>
      <c r="T950" s="29">
        <f t="shared" si="232"/>
        <v>2618.8397937678765</v>
      </c>
      <c r="U950" s="29">
        <f t="shared" si="236"/>
        <v>2618.8397937678765</v>
      </c>
      <c r="V950" s="33" t="s">
        <v>753</v>
      </c>
    </row>
    <row r="951" spans="1:22" s="44" customFormat="1" ht="45" customHeight="1" x14ac:dyDescent="0.25">
      <c r="A951" s="25">
        <v>2</v>
      </c>
      <c r="B951" s="26" t="s">
        <v>794</v>
      </c>
      <c r="C951" s="25" t="s">
        <v>43</v>
      </c>
      <c r="D951" s="27" t="s">
        <v>200</v>
      </c>
      <c r="E951" s="27" t="s">
        <v>39</v>
      </c>
      <c r="F951" s="25" t="s">
        <v>77</v>
      </c>
      <c r="G951" s="28" t="s">
        <v>415</v>
      </c>
      <c r="H951" s="28" t="s">
        <v>461</v>
      </c>
      <c r="I951" s="29">
        <v>2124.4</v>
      </c>
      <c r="J951" s="29">
        <v>1974.6</v>
      </c>
      <c r="K951" s="29">
        <v>1858.4</v>
      </c>
      <c r="L951" s="30">
        <v>84</v>
      </c>
      <c r="M951" s="29">
        <f t="shared" si="250"/>
        <v>1248434.1399999999</v>
      </c>
      <c r="N951" s="29">
        <v>0</v>
      </c>
      <c r="O951" s="29">
        <v>0</v>
      </c>
      <c r="P951" s="29">
        <v>0</v>
      </c>
      <c r="Q951" s="31">
        <f>'Таблица 3 '!C941</f>
        <v>1248434.1399999999</v>
      </c>
      <c r="R951" s="29">
        <f t="shared" si="251"/>
        <v>1248434.1399999999</v>
      </c>
      <c r="S951" s="29">
        <v>0</v>
      </c>
      <c r="T951" s="29">
        <f t="shared" si="232"/>
        <v>632.24660184341133</v>
      </c>
      <c r="U951" s="29">
        <f t="shared" si="236"/>
        <v>632.24660184341133</v>
      </c>
      <c r="V951" s="33" t="s">
        <v>753</v>
      </c>
    </row>
    <row r="952" spans="1:22" s="44" customFormat="1" ht="45" customHeight="1" x14ac:dyDescent="0.25">
      <c r="A952" s="25">
        <v>3</v>
      </c>
      <c r="B952" s="26" t="s">
        <v>795</v>
      </c>
      <c r="C952" s="25" t="s">
        <v>43</v>
      </c>
      <c r="D952" s="27" t="s">
        <v>147</v>
      </c>
      <c r="E952" s="27" t="s">
        <v>39</v>
      </c>
      <c r="F952" s="25" t="s">
        <v>77</v>
      </c>
      <c r="G952" s="28" t="s">
        <v>414</v>
      </c>
      <c r="H952" s="28">
        <v>6</v>
      </c>
      <c r="I952" s="29">
        <v>5020</v>
      </c>
      <c r="J952" s="29">
        <v>4660</v>
      </c>
      <c r="K952" s="29">
        <f>J952-355.5</f>
        <v>4304.5</v>
      </c>
      <c r="L952" s="30">
        <v>196</v>
      </c>
      <c r="M952" s="29">
        <f t="shared" si="250"/>
        <v>15000000</v>
      </c>
      <c r="N952" s="29">
        <v>0</v>
      </c>
      <c r="O952" s="29">
        <v>0</v>
      </c>
      <c r="P952" s="29">
        <v>0</v>
      </c>
      <c r="Q952" s="31">
        <f>'Таблица 3 '!C942</f>
        <v>15000000</v>
      </c>
      <c r="R952" s="29">
        <f t="shared" si="251"/>
        <v>15000000</v>
      </c>
      <c r="S952" s="29">
        <v>0</v>
      </c>
      <c r="T952" s="29">
        <f t="shared" si="232"/>
        <v>3218.8841201716737</v>
      </c>
      <c r="U952" s="29">
        <f t="shared" si="236"/>
        <v>3218.8841201716737</v>
      </c>
      <c r="V952" s="33" t="s">
        <v>753</v>
      </c>
    </row>
    <row r="953" spans="1:22" s="44" customFormat="1" ht="45" customHeight="1" x14ac:dyDescent="0.25">
      <c r="A953" s="25">
        <v>4</v>
      </c>
      <c r="B953" s="26" t="s">
        <v>541</v>
      </c>
      <c r="C953" s="25" t="s">
        <v>43</v>
      </c>
      <c r="D953" s="27" t="s">
        <v>366</v>
      </c>
      <c r="E953" s="27" t="s">
        <v>39</v>
      </c>
      <c r="F953" s="25" t="s">
        <v>77</v>
      </c>
      <c r="G953" s="28" t="s">
        <v>461</v>
      </c>
      <c r="H953" s="28" t="s">
        <v>420</v>
      </c>
      <c r="I953" s="29">
        <v>1029.2</v>
      </c>
      <c r="J953" s="29">
        <v>937.8</v>
      </c>
      <c r="K953" s="29">
        <v>866.8</v>
      </c>
      <c r="L953" s="30">
        <v>50</v>
      </c>
      <c r="M953" s="29">
        <f t="shared" si="250"/>
        <v>4647678.21</v>
      </c>
      <c r="N953" s="29">
        <v>0</v>
      </c>
      <c r="O953" s="29">
        <v>0</v>
      </c>
      <c r="P953" s="29">
        <v>0</v>
      </c>
      <c r="Q953" s="31">
        <f>'Таблица 3 '!C943</f>
        <v>4647678.21</v>
      </c>
      <c r="R953" s="29">
        <f t="shared" si="251"/>
        <v>4647678.21</v>
      </c>
      <c r="S953" s="29">
        <v>0</v>
      </c>
      <c r="T953" s="29">
        <f t="shared" si="232"/>
        <v>4955.9375239923229</v>
      </c>
      <c r="U953" s="29">
        <f t="shared" si="236"/>
        <v>4955.9375239923229</v>
      </c>
      <c r="V953" s="33" t="s">
        <v>753</v>
      </c>
    </row>
    <row r="954" spans="1:22" s="44" customFormat="1" ht="45" customHeight="1" x14ac:dyDescent="0.25">
      <c r="A954" s="25">
        <v>5</v>
      </c>
      <c r="B954" s="26" t="s">
        <v>796</v>
      </c>
      <c r="C954" s="25" t="s">
        <v>43</v>
      </c>
      <c r="D954" s="27" t="s">
        <v>163</v>
      </c>
      <c r="E954" s="27" t="s">
        <v>39</v>
      </c>
      <c r="F954" s="25" t="s">
        <v>77</v>
      </c>
      <c r="G954" s="28" t="s">
        <v>420</v>
      </c>
      <c r="H954" s="28" t="s">
        <v>420</v>
      </c>
      <c r="I954" s="29">
        <v>658.5</v>
      </c>
      <c r="J954" s="29">
        <v>607.20000000000005</v>
      </c>
      <c r="K954" s="29">
        <v>607.20000000000005</v>
      </c>
      <c r="L954" s="30">
        <v>22</v>
      </c>
      <c r="M954" s="29">
        <f t="shared" si="250"/>
        <v>1225756.8199999998</v>
      </c>
      <c r="N954" s="29">
        <v>0</v>
      </c>
      <c r="O954" s="29">
        <v>0</v>
      </c>
      <c r="P954" s="29">
        <v>0</v>
      </c>
      <c r="Q954" s="31">
        <f>'Таблица 3 '!C944</f>
        <v>1225756.8199999998</v>
      </c>
      <c r="R954" s="29">
        <f t="shared" si="251"/>
        <v>1225756.8199999998</v>
      </c>
      <c r="S954" s="29">
        <v>0</v>
      </c>
      <c r="T954" s="29">
        <f t="shared" si="232"/>
        <v>2018.7035902503289</v>
      </c>
      <c r="U954" s="29">
        <f t="shared" si="236"/>
        <v>2018.7035902503289</v>
      </c>
      <c r="V954" s="33" t="s">
        <v>753</v>
      </c>
    </row>
    <row r="955" spans="1:22" s="44" customFormat="1" ht="45" customHeight="1" x14ac:dyDescent="0.25">
      <c r="A955" s="25">
        <v>6</v>
      </c>
      <c r="B955" s="26" t="s">
        <v>546</v>
      </c>
      <c r="C955" s="25" t="s">
        <v>43</v>
      </c>
      <c r="D955" s="27" t="s">
        <v>132</v>
      </c>
      <c r="E955" s="27" t="s">
        <v>39</v>
      </c>
      <c r="F955" s="25" t="s">
        <v>77</v>
      </c>
      <c r="G955" s="28" t="s">
        <v>420</v>
      </c>
      <c r="H955" s="28" t="s">
        <v>420</v>
      </c>
      <c r="I955" s="29">
        <v>765.1</v>
      </c>
      <c r="J955" s="29">
        <v>714.22</v>
      </c>
      <c r="K955" s="29">
        <v>674.32</v>
      </c>
      <c r="L955" s="30">
        <v>30</v>
      </c>
      <c r="M955" s="29">
        <f t="shared" si="250"/>
        <v>4066986.5100000002</v>
      </c>
      <c r="N955" s="29">
        <v>0</v>
      </c>
      <c r="O955" s="29">
        <v>0</v>
      </c>
      <c r="P955" s="29">
        <v>0</v>
      </c>
      <c r="Q955" s="31">
        <f>'Таблица 3 '!C945</f>
        <v>4066986.5100000002</v>
      </c>
      <c r="R955" s="29">
        <f t="shared" si="251"/>
        <v>4066986.5100000002</v>
      </c>
      <c r="S955" s="29">
        <v>0</v>
      </c>
      <c r="T955" s="29">
        <f t="shared" si="232"/>
        <v>5694.3049900590859</v>
      </c>
      <c r="U955" s="29">
        <f t="shared" si="236"/>
        <v>5694.3049900590859</v>
      </c>
      <c r="V955" s="33" t="s">
        <v>753</v>
      </c>
    </row>
    <row r="956" spans="1:22" s="44" customFormat="1" ht="48.75" customHeight="1" x14ac:dyDescent="0.25">
      <c r="A956" s="25">
        <v>7</v>
      </c>
      <c r="B956" s="26" t="s">
        <v>551</v>
      </c>
      <c r="C956" s="25" t="s">
        <v>43</v>
      </c>
      <c r="D956" s="27" t="s">
        <v>79</v>
      </c>
      <c r="E956" s="27" t="s">
        <v>39</v>
      </c>
      <c r="F956" s="25" t="s">
        <v>77</v>
      </c>
      <c r="G956" s="28" t="s">
        <v>414</v>
      </c>
      <c r="H956" s="28">
        <v>1</v>
      </c>
      <c r="I956" s="29">
        <v>1884.1</v>
      </c>
      <c r="J956" s="29">
        <v>1706.1</v>
      </c>
      <c r="K956" s="29">
        <f>1706.1-355.3</f>
        <v>1350.8</v>
      </c>
      <c r="L956" s="30">
        <v>97</v>
      </c>
      <c r="M956" s="29">
        <f t="shared" si="250"/>
        <v>6345617.2599999998</v>
      </c>
      <c r="N956" s="29">
        <v>0</v>
      </c>
      <c r="O956" s="29">
        <v>0</v>
      </c>
      <c r="P956" s="29">
        <v>0</v>
      </c>
      <c r="Q956" s="31">
        <f>'Таблица 3 '!C946</f>
        <v>6345617.2599999998</v>
      </c>
      <c r="R956" s="29">
        <f t="shared" si="251"/>
        <v>6345617.2599999998</v>
      </c>
      <c r="S956" s="29">
        <v>0</v>
      </c>
      <c r="T956" s="29">
        <f t="shared" si="232"/>
        <v>3719.3700603716079</v>
      </c>
      <c r="U956" s="29">
        <f t="shared" si="236"/>
        <v>3719.3700603716079</v>
      </c>
      <c r="V956" s="33" t="s">
        <v>753</v>
      </c>
    </row>
    <row r="957" spans="1:22" s="44" customFormat="1" ht="27" customHeight="1" x14ac:dyDescent="0.25">
      <c r="A957" s="111"/>
      <c r="B957" s="140"/>
      <c r="C957" s="111"/>
      <c r="D957" s="112"/>
      <c r="E957" s="112"/>
      <c r="F957" s="111"/>
      <c r="G957" s="113"/>
      <c r="H957" s="113"/>
      <c r="I957" s="114"/>
      <c r="J957" s="114"/>
      <c r="K957" s="114"/>
      <c r="L957" s="141"/>
      <c r="M957" s="142"/>
      <c r="N957" s="142"/>
      <c r="O957" s="142"/>
      <c r="P957" s="142"/>
      <c r="Q957" s="142"/>
      <c r="R957" s="114"/>
      <c r="S957" s="114"/>
      <c r="T957" s="114"/>
      <c r="U957" s="114"/>
      <c r="V957" s="143"/>
    </row>
    <row r="958" spans="1:22" s="40" customFormat="1" x14ac:dyDescent="0.25">
      <c r="E958" s="144"/>
      <c r="I958" s="44"/>
      <c r="J958" s="44"/>
      <c r="K958" s="44"/>
      <c r="L958" s="44"/>
      <c r="M958" s="44"/>
      <c r="N958" s="44"/>
      <c r="O958" s="44"/>
      <c r="P958" s="44"/>
      <c r="Q958" s="44"/>
      <c r="R958" s="44"/>
      <c r="S958" s="44"/>
    </row>
    <row r="959" spans="1:22" s="145" customFormat="1" ht="25.5" customHeight="1" x14ac:dyDescent="0.3">
      <c r="A959" s="327" t="s">
        <v>797</v>
      </c>
      <c r="B959" s="327"/>
      <c r="C959" s="146"/>
      <c r="D959" s="146"/>
      <c r="E959" s="146"/>
      <c r="F959" s="146"/>
      <c r="G959" s="147"/>
      <c r="H959" s="147"/>
      <c r="I959" s="147"/>
      <c r="J959" s="147"/>
      <c r="K959" s="147"/>
      <c r="L959" s="147"/>
      <c r="M959" s="147"/>
      <c r="N959" s="147"/>
      <c r="O959" s="147"/>
      <c r="P959" s="147"/>
      <c r="Q959" s="147"/>
      <c r="R959" s="147"/>
      <c r="S959" s="147"/>
      <c r="T959" s="147"/>
      <c r="U959" s="147"/>
      <c r="V959" s="147"/>
    </row>
    <row r="960" spans="1:22" s="145" customFormat="1" ht="23.25" customHeight="1" x14ac:dyDescent="0.25">
      <c r="A960" s="328" t="s">
        <v>798</v>
      </c>
      <c r="B960" s="328"/>
      <c r="C960" s="328"/>
      <c r="D960" s="328"/>
      <c r="E960" s="328"/>
      <c r="F960" s="328"/>
      <c r="G960" s="328"/>
      <c r="H960" s="328"/>
      <c r="I960" s="328"/>
      <c r="J960" s="328"/>
      <c r="K960" s="328"/>
      <c r="L960" s="328"/>
      <c r="M960" s="328"/>
      <c r="N960" s="328"/>
      <c r="O960" s="328"/>
      <c r="P960" s="328"/>
      <c r="Q960" s="328"/>
      <c r="R960" s="328"/>
      <c r="S960" s="328"/>
      <c r="T960" s="328"/>
      <c r="U960" s="328"/>
      <c r="V960" s="328"/>
    </row>
    <row r="961" spans="1:24" s="145" customFormat="1" ht="23.25" customHeight="1" x14ac:dyDescent="0.25">
      <c r="A961" s="322" t="s">
        <v>38</v>
      </c>
      <c r="B961" s="322"/>
      <c r="C961" s="18" t="s">
        <v>39</v>
      </c>
      <c r="D961" s="18" t="s">
        <v>40</v>
      </c>
      <c r="E961" s="19" t="s">
        <v>40</v>
      </c>
      <c r="F961" s="18" t="s">
        <v>40</v>
      </c>
      <c r="G961" s="20" t="s">
        <v>40</v>
      </c>
      <c r="H961" s="20" t="s">
        <v>40</v>
      </c>
      <c r="I961" s="21">
        <f t="shared" ref="I961:S961" si="252">I962+I1000+I1002+I1004+I1006+I1009+I1024+I1029+I1032+I1037+I1040</f>
        <v>245735.09399999995</v>
      </c>
      <c r="J961" s="21">
        <f t="shared" si="252"/>
        <v>211302.57</v>
      </c>
      <c r="K961" s="21">
        <f t="shared" si="252"/>
        <v>187750.57</v>
      </c>
      <c r="L961" s="22">
        <f t="shared" si="252"/>
        <v>7380</v>
      </c>
      <c r="M961" s="21">
        <f t="shared" si="252"/>
        <v>46388429.529999986</v>
      </c>
      <c r="N961" s="21">
        <f t="shared" si="252"/>
        <v>0</v>
      </c>
      <c r="O961" s="21">
        <f t="shared" si="252"/>
        <v>0</v>
      </c>
      <c r="P961" s="21">
        <f t="shared" si="252"/>
        <v>0</v>
      </c>
      <c r="Q961" s="21">
        <f t="shared" si="252"/>
        <v>46388429.529999986</v>
      </c>
      <c r="R961" s="21">
        <f t="shared" si="252"/>
        <v>46388429.529999986</v>
      </c>
      <c r="S961" s="21">
        <f t="shared" si="252"/>
        <v>0</v>
      </c>
      <c r="T961" s="60" t="s">
        <v>40</v>
      </c>
      <c r="U961" s="60" t="s">
        <v>40</v>
      </c>
      <c r="V961" s="72" t="s">
        <v>40</v>
      </c>
      <c r="W961" s="23"/>
    </row>
    <row r="962" spans="1:24" s="145" customFormat="1" ht="23.25" customHeight="1" x14ac:dyDescent="0.25">
      <c r="A962" s="322" t="s">
        <v>41</v>
      </c>
      <c r="B962" s="322"/>
      <c r="C962" s="18" t="s">
        <v>39</v>
      </c>
      <c r="D962" s="18" t="s">
        <v>40</v>
      </c>
      <c r="E962" s="19" t="s">
        <v>40</v>
      </c>
      <c r="F962" s="18" t="s">
        <v>40</v>
      </c>
      <c r="G962" s="20" t="s">
        <v>40</v>
      </c>
      <c r="H962" s="20" t="s">
        <v>40</v>
      </c>
      <c r="I962" s="21">
        <f>I963+I964+I965+I969+I970+I974+I976+I977+I978+I980+I981+I982+I984+I986+I990+I992+I993+I995+I996+I997+I998</f>
        <v>129718.59999999998</v>
      </c>
      <c r="J962" s="21">
        <f>J963+J964+J965+J969+J970+J974+J976+J977+J978+J980+J981+J982+J984+J986+J990+J992+J993+J995+J996+J997+J998</f>
        <v>129742.3</v>
      </c>
      <c r="K962" s="21">
        <f>K963+K964+K965+K969+K970+K974+K976+K977+K978+K980+K981+K982+K984+K986+K990+K992+K993+K995+K996+K997+K998</f>
        <v>110415.8</v>
      </c>
      <c r="L962" s="22">
        <f>L963+L964+L965+L969+L970+L974+L976+L977+L978+L980+L981+L982+L984+L986+L990+L992+L993+L995+L996+L997+L998</f>
        <v>3343</v>
      </c>
      <c r="M962" s="21">
        <f t="shared" ref="M962:S962" si="253">SUM(M963:M999)</f>
        <v>28775439.439999998</v>
      </c>
      <c r="N962" s="21">
        <f t="shared" si="253"/>
        <v>0</v>
      </c>
      <c r="O962" s="21">
        <f t="shared" si="253"/>
        <v>0</v>
      </c>
      <c r="P962" s="21">
        <f t="shared" si="253"/>
        <v>0</v>
      </c>
      <c r="Q962" s="21">
        <f t="shared" si="253"/>
        <v>28775439.439999998</v>
      </c>
      <c r="R962" s="21">
        <f t="shared" si="253"/>
        <v>28775439.439999998</v>
      </c>
      <c r="S962" s="21">
        <f t="shared" si="253"/>
        <v>0</v>
      </c>
      <c r="T962" s="60" t="s">
        <v>40</v>
      </c>
      <c r="U962" s="60" t="s">
        <v>40</v>
      </c>
      <c r="V962" s="72" t="s">
        <v>40</v>
      </c>
      <c r="W962" s="23"/>
    </row>
    <row r="963" spans="1:24" s="145" customFormat="1" ht="44.25" customHeight="1" x14ac:dyDescent="0.25">
      <c r="A963" s="25">
        <v>1</v>
      </c>
      <c r="B963" s="26" t="s">
        <v>799</v>
      </c>
      <c r="C963" s="25" t="s">
        <v>85</v>
      </c>
      <c r="D963" s="27" t="s">
        <v>154</v>
      </c>
      <c r="E963" s="27" t="s">
        <v>39</v>
      </c>
      <c r="F963" s="25" t="s">
        <v>77</v>
      </c>
      <c r="G963" s="28">
        <v>5</v>
      </c>
      <c r="H963" s="28">
        <v>3</v>
      </c>
      <c r="I963" s="29">
        <v>3440</v>
      </c>
      <c r="J963" s="29">
        <v>3375.8</v>
      </c>
      <c r="K963" s="29">
        <v>3176.4</v>
      </c>
      <c r="L963" s="30">
        <v>132</v>
      </c>
      <c r="M963" s="31">
        <f t="shared" ref="M963:M999" si="254">SUM(N963:Q963)</f>
        <v>241914</v>
      </c>
      <c r="N963" s="29">
        <v>0</v>
      </c>
      <c r="O963" s="29">
        <v>0</v>
      </c>
      <c r="P963" s="29">
        <v>0</v>
      </c>
      <c r="Q963" s="32">
        <f>'Таблица 3 '!C952</f>
        <v>241914</v>
      </c>
      <c r="R963" s="29">
        <f t="shared" ref="R963:R999" si="255">Q963</f>
        <v>241914</v>
      </c>
      <c r="S963" s="29">
        <v>0</v>
      </c>
      <c r="T963" s="29" t="s">
        <v>39</v>
      </c>
      <c r="U963" s="29" t="s">
        <v>39</v>
      </c>
      <c r="V963" s="33" t="s">
        <v>130</v>
      </c>
      <c r="W963" s="23"/>
    </row>
    <row r="964" spans="1:24" s="145" customFormat="1" ht="44.25" customHeight="1" x14ac:dyDescent="0.25">
      <c r="A964" s="25">
        <v>2</v>
      </c>
      <c r="B964" s="34" t="s">
        <v>800</v>
      </c>
      <c r="C964" s="25" t="s">
        <v>85</v>
      </c>
      <c r="D964" s="25">
        <v>1978</v>
      </c>
      <c r="E964" s="27" t="s">
        <v>39</v>
      </c>
      <c r="F964" s="25" t="s">
        <v>48</v>
      </c>
      <c r="G964" s="28">
        <v>5</v>
      </c>
      <c r="H964" s="28">
        <v>6</v>
      </c>
      <c r="I964" s="32">
        <v>4895.1000000000004</v>
      </c>
      <c r="J964" s="32">
        <v>4402.5</v>
      </c>
      <c r="K964" s="32">
        <v>4374.5</v>
      </c>
      <c r="L964" s="35">
        <v>148</v>
      </c>
      <c r="M964" s="32">
        <f t="shared" si="254"/>
        <v>2910900</v>
      </c>
      <c r="N964" s="32">
        <v>0</v>
      </c>
      <c r="O964" s="32">
        <v>0</v>
      </c>
      <c r="P964" s="32">
        <v>0</v>
      </c>
      <c r="Q964" s="32">
        <f>'Таблица 3 '!C953</f>
        <v>2910900</v>
      </c>
      <c r="R964" s="32">
        <f t="shared" si="255"/>
        <v>2910900</v>
      </c>
      <c r="S964" s="32">
        <v>0</v>
      </c>
      <c r="T964" s="29" t="s">
        <v>39</v>
      </c>
      <c r="U964" s="29" t="s">
        <v>39</v>
      </c>
      <c r="V964" s="33" t="s">
        <v>155</v>
      </c>
      <c r="W964" s="23"/>
    </row>
    <row r="965" spans="1:24" s="145" customFormat="1" ht="44.25" customHeight="1" x14ac:dyDescent="0.25">
      <c r="A965" s="25">
        <v>3</v>
      </c>
      <c r="B965" s="37" t="s">
        <v>801</v>
      </c>
      <c r="C965" s="25" t="s">
        <v>43</v>
      </c>
      <c r="D965" s="25">
        <v>1995</v>
      </c>
      <c r="E965" s="25" t="s">
        <v>40</v>
      </c>
      <c r="F965" s="25" t="s">
        <v>48</v>
      </c>
      <c r="G965" s="28">
        <v>10</v>
      </c>
      <c r="H965" s="28">
        <v>10</v>
      </c>
      <c r="I965" s="32">
        <v>5001.7</v>
      </c>
      <c r="J965" s="32">
        <v>5001.7</v>
      </c>
      <c r="K965" s="32">
        <v>5001.7</v>
      </c>
      <c r="L965" s="35">
        <v>186</v>
      </c>
      <c r="M965" s="32">
        <f t="shared" si="254"/>
        <v>-5916708.8200000003</v>
      </c>
      <c r="N965" s="32">
        <v>0</v>
      </c>
      <c r="O965" s="32">
        <v>0</v>
      </c>
      <c r="P965" s="32">
        <v>0</v>
      </c>
      <c r="Q965" s="32">
        <f>'Таблица 3 '!C954</f>
        <v>-5916708.8200000003</v>
      </c>
      <c r="R965" s="32">
        <f t="shared" si="255"/>
        <v>-5916708.8200000003</v>
      </c>
      <c r="S965" s="32">
        <v>0</v>
      </c>
      <c r="T965" s="29" t="s">
        <v>39</v>
      </c>
      <c r="U965" s="29" t="s">
        <v>39</v>
      </c>
      <c r="V965" s="73">
        <v>2025</v>
      </c>
      <c r="W965" s="148"/>
    </row>
    <row r="966" spans="1:24" s="145" customFormat="1" ht="42" customHeight="1" x14ac:dyDescent="0.25">
      <c r="A966" s="25"/>
      <c r="B966" s="37" t="s">
        <v>801</v>
      </c>
      <c r="C966" s="25" t="s">
        <v>43</v>
      </c>
      <c r="D966" s="25">
        <v>1995</v>
      </c>
      <c r="E966" s="25" t="s">
        <v>40</v>
      </c>
      <c r="F966" s="25" t="s">
        <v>48</v>
      </c>
      <c r="G966" s="28">
        <v>10</v>
      </c>
      <c r="H966" s="28">
        <v>10</v>
      </c>
      <c r="I966" s="32">
        <v>5001.7</v>
      </c>
      <c r="J966" s="32">
        <v>5001.7</v>
      </c>
      <c r="K966" s="32">
        <v>5001.7</v>
      </c>
      <c r="L966" s="35">
        <v>186</v>
      </c>
      <c r="M966" s="32">
        <f t="shared" si="254"/>
        <v>5957481.9800000004</v>
      </c>
      <c r="N966" s="32">
        <v>0</v>
      </c>
      <c r="O966" s="32">
        <v>0</v>
      </c>
      <c r="P966" s="32">
        <v>0</v>
      </c>
      <c r="Q966" s="32">
        <f>'Таблица 3 '!C955</f>
        <v>5957481.9800000004</v>
      </c>
      <c r="R966" s="32">
        <f t="shared" si="255"/>
        <v>5957481.9800000004</v>
      </c>
      <c r="S966" s="32">
        <v>0</v>
      </c>
      <c r="T966" s="29" t="s">
        <v>39</v>
      </c>
      <c r="U966" s="29" t="s">
        <v>39</v>
      </c>
      <c r="V966" s="73">
        <v>2025</v>
      </c>
      <c r="W966" s="148"/>
    </row>
    <row r="967" spans="1:24" s="145" customFormat="1" ht="42" customHeight="1" x14ac:dyDescent="0.25">
      <c r="A967" s="25">
        <v>3</v>
      </c>
      <c r="B967" s="34" t="s">
        <v>802</v>
      </c>
      <c r="C967" s="25" t="s">
        <v>43</v>
      </c>
      <c r="D967" s="25">
        <v>1984</v>
      </c>
      <c r="E967" s="25">
        <v>2021</v>
      </c>
      <c r="F967" s="25" t="s">
        <v>48</v>
      </c>
      <c r="G967" s="28">
        <v>5</v>
      </c>
      <c r="H967" s="28">
        <v>6</v>
      </c>
      <c r="I967" s="32">
        <v>6094.94</v>
      </c>
      <c r="J967" s="32">
        <v>4472.3999999999996</v>
      </c>
      <c r="K967" s="32">
        <v>4403.8999999999996</v>
      </c>
      <c r="L967" s="35">
        <v>201</v>
      </c>
      <c r="M967" s="32">
        <f t="shared" si="254"/>
        <v>-5149178.95</v>
      </c>
      <c r="N967" s="32">
        <v>0</v>
      </c>
      <c r="O967" s="32">
        <v>0</v>
      </c>
      <c r="P967" s="32">
        <v>0</v>
      </c>
      <c r="Q967" s="32">
        <f>'Таблица 3 '!C956</f>
        <v>-5149178.95</v>
      </c>
      <c r="R967" s="32">
        <f t="shared" si="255"/>
        <v>-5149178.95</v>
      </c>
      <c r="S967" s="32">
        <v>0</v>
      </c>
      <c r="T967" s="29" t="s">
        <v>39</v>
      </c>
      <c r="U967" s="29" t="s">
        <v>39</v>
      </c>
      <c r="V967" s="73">
        <v>2023</v>
      </c>
      <c r="W967" s="149"/>
      <c r="X967" s="150"/>
    </row>
    <row r="968" spans="1:24" s="145" customFormat="1" ht="42" customHeight="1" x14ac:dyDescent="0.25">
      <c r="A968" s="25"/>
      <c r="B968" s="34" t="s">
        <v>802</v>
      </c>
      <c r="C968" s="25" t="s">
        <v>43</v>
      </c>
      <c r="D968" s="25">
        <v>1984</v>
      </c>
      <c r="E968" s="25">
        <v>2021</v>
      </c>
      <c r="F968" s="25" t="s">
        <v>48</v>
      </c>
      <c r="G968" s="28">
        <v>5</v>
      </c>
      <c r="H968" s="28">
        <v>6</v>
      </c>
      <c r="I968" s="32">
        <v>6094.94</v>
      </c>
      <c r="J968" s="32">
        <v>4472.3999999999996</v>
      </c>
      <c r="K968" s="32">
        <v>4403.8999999999996</v>
      </c>
      <c r="L968" s="35">
        <v>201</v>
      </c>
      <c r="M968" s="32">
        <f t="shared" si="254"/>
        <v>5353057.2</v>
      </c>
      <c r="N968" s="32">
        <v>0</v>
      </c>
      <c r="O968" s="32">
        <v>0</v>
      </c>
      <c r="P968" s="32">
        <v>0</v>
      </c>
      <c r="Q968" s="32">
        <f>'Таблица 3 '!C957</f>
        <v>5353057.2</v>
      </c>
      <c r="R968" s="32">
        <f t="shared" si="255"/>
        <v>5353057.2</v>
      </c>
      <c r="S968" s="32">
        <v>0</v>
      </c>
      <c r="T968" s="29" t="s">
        <v>39</v>
      </c>
      <c r="U968" s="29" t="s">
        <v>39</v>
      </c>
      <c r="V968" s="73">
        <v>2023</v>
      </c>
      <c r="W968" s="149"/>
      <c r="X968" s="150"/>
    </row>
    <row r="969" spans="1:24" s="145" customFormat="1" ht="45.75" customHeight="1" x14ac:dyDescent="0.25">
      <c r="A969" s="25">
        <v>4</v>
      </c>
      <c r="B969" s="34" t="s">
        <v>583</v>
      </c>
      <c r="C969" s="25" t="s">
        <v>85</v>
      </c>
      <c r="D969" s="25">
        <v>1988</v>
      </c>
      <c r="E969" s="25" t="s">
        <v>40</v>
      </c>
      <c r="F969" s="25" t="s">
        <v>77</v>
      </c>
      <c r="G969" s="28">
        <v>9</v>
      </c>
      <c r="H969" s="28">
        <v>1</v>
      </c>
      <c r="I969" s="32">
        <v>4924.2</v>
      </c>
      <c r="J969" s="32">
        <v>4903.5</v>
      </c>
      <c r="K969" s="32">
        <v>4816</v>
      </c>
      <c r="L969" s="35">
        <v>128</v>
      </c>
      <c r="M969" s="32">
        <f t="shared" si="254"/>
        <v>1494789.08</v>
      </c>
      <c r="N969" s="32">
        <v>0</v>
      </c>
      <c r="O969" s="32">
        <v>0</v>
      </c>
      <c r="P969" s="32">
        <v>0</v>
      </c>
      <c r="Q969" s="32">
        <f>'Таблица 3 '!C958</f>
        <v>1494789.08</v>
      </c>
      <c r="R969" s="32">
        <f t="shared" si="255"/>
        <v>1494789.08</v>
      </c>
      <c r="S969" s="32">
        <v>0</v>
      </c>
      <c r="T969" s="29" t="s">
        <v>39</v>
      </c>
      <c r="U969" s="29" t="s">
        <v>39</v>
      </c>
      <c r="V969" s="73">
        <v>2025</v>
      </c>
      <c r="W969" s="148"/>
    </row>
    <row r="970" spans="1:24" s="145" customFormat="1" ht="44.25" customHeight="1" x14ac:dyDescent="0.25">
      <c r="A970" s="25">
        <v>5</v>
      </c>
      <c r="B970" s="34" t="s">
        <v>803</v>
      </c>
      <c r="C970" s="25" t="s">
        <v>43</v>
      </c>
      <c r="D970" s="25">
        <v>1991</v>
      </c>
      <c r="E970" s="25">
        <v>2019</v>
      </c>
      <c r="F970" s="25" t="s">
        <v>77</v>
      </c>
      <c r="G970" s="28">
        <v>10</v>
      </c>
      <c r="H970" s="28">
        <v>1</v>
      </c>
      <c r="I970" s="32">
        <v>3798.6</v>
      </c>
      <c r="J970" s="32">
        <v>2956.7</v>
      </c>
      <c r="K970" s="32">
        <v>2956.7</v>
      </c>
      <c r="L970" s="35">
        <v>65</v>
      </c>
      <c r="M970" s="32">
        <f t="shared" si="254"/>
        <v>-6243297.3399999999</v>
      </c>
      <c r="N970" s="32">
        <v>0</v>
      </c>
      <c r="O970" s="32">
        <v>0</v>
      </c>
      <c r="P970" s="32">
        <v>0</v>
      </c>
      <c r="Q970" s="32">
        <f>'Таблица 3 '!C959</f>
        <v>-6243297.3399999999</v>
      </c>
      <c r="R970" s="32">
        <f t="shared" si="255"/>
        <v>-6243297.3399999999</v>
      </c>
      <c r="S970" s="32">
        <v>0</v>
      </c>
      <c r="T970" s="29" t="s">
        <v>39</v>
      </c>
      <c r="U970" s="29" t="s">
        <v>39</v>
      </c>
      <c r="V970" s="73">
        <v>2025</v>
      </c>
      <c r="W970" s="148"/>
    </row>
    <row r="971" spans="1:24" s="145" customFormat="1" ht="44.25" customHeight="1" x14ac:dyDescent="0.25">
      <c r="A971" s="25"/>
      <c r="B971" s="34" t="s">
        <v>803</v>
      </c>
      <c r="C971" s="25" t="s">
        <v>43</v>
      </c>
      <c r="D971" s="25">
        <v>1991</v>
      </c>
      <c r="E971" s="25">
        <v>2019</v>
      </c>
      <c r="F971" s="25" t="s">
        <v>77</v>
      </c>
      <c r="G971" s="28">
        <v>10</v>
      </c>
      <c r="H971" s="28">
        <v>1</v>
      </c>
      <c r="I971" s="32">
        <v>3798.6</v>
      </c>
      <c r="J971" s="32">
        <v>2956.7</v>
      </c>
      <c r="K971" s="32">
        <v>2956.7</v>
      </c>
      <c r="L971" s="35">
        <v>65</v>
      </c>
      <c r="M971" s="32">
        <f t="shared" si="254"/>
        <v>6029143.8399999999</v>
      </c>
      <c r="N971" s="32">
        <v>0</v>
      </c>
      <c r="O971" s="32">
        <v>0</v>
      </c>
      <c r="P971" s="32">
        <v>0</v>
      </c>
      <c r="Q971" s="32">
        <f>'Таблица 3 '!C960</f>
        <v>6029143.8399999999</v>
      </c>
      <c r="R971" s="32">
        <f t="shared" si="255"/>
        <v>6029143.8399999999</v>
      </c>
      <c r="S971" s="32">
        <v>0</v>
      </c>
      <c r="T971" s="29" t="s">
        <v>39</v>
      </c>
      <c r="U971" s="29" t="s">
        <v>39</v>
      </c>
      <c r="V971" s="73">
        <v>2025</v>
      </c>
      <c r="W971" s="148"/>
    </row>
    <row r="972" spans="1:24" s="145" customFormat="1" ht="44.25" customHeight="1" x14ac:dyDescent="0.25">
      <c r="A972" s="25">
        <v>6</v>
      </c>
      <c r="B972" s="34" t="s">
        <v>804</v>
      </c>
      <c r="C972" s="25" t="s">
        <v>43</v>
      </c>
      <c r="D972" s="25">
        <v>1938</v>
      </c>
      <c r="E972" s="25" t="s">
        <v>39</v>
      </c>
      <c r="F972" s="25" t="s">
        <v>77</v>
      </c>
      <c r="G972" s="28">
        <v>4</v>
      </c>
      <c r="H972" s="28">
        <v>3</v>
      </c>
      <c r="I972" s="32">
        <v>2984.3</v>
      </c>
      <c r="J972" s="32">
        <v>2571.8000000000002</v>
      </c>
      <c r="K972" s="32">
        <v>2172.9</v>
      </c>
      <c r="L972" s="35">
        <v>72</v>
      </c>
      <c r="M972" s="32">
        <f t="shared" si="254"/>
        <v>-5040429.5999999996</v>
      </c>
      <c r="N972" s="32">
        <v>0</v>
      </c>
      <c r="O972" s="32">
        <v>0</v>
      </c>
      <c r="P972" s="32">
        <v>0</v>
      </c>
      <c r="Q972" s="32">
        <f>'Таблица 3 '!C961</f>
        <v>-5040429.5999999996</v>
      </c>
      <c r="R972" s="32">
        <f t="shared" si="255"/>
        <v>-5040429.5999999996</v>
      </c>
      <c r="S972" s="32">
        <v>0</v>
      </c>
      <c r="T972" s="29" t="s">
        <v>39</v>
      </c>
      <c r="U972" s="29" t="s">
        <v>39</v>
      </c>
      <c r="V972" s="73">
        <v>2019</v>
      </c>
      <c r="W972" s="149"/>
      <c r="X972" s="150"/>
    </row>
    <row r="973" spans="1:24" s="145" customFormat="1" ht="44.25" customHeight="1" x14ac:dyDescent="0.25">
      <c r="A973" s="25"/>
      <c r="B973" s="34" t="s">
        <v>804</v>
      </c>
      <c r="C973" s="25" t="s">
        <v>43</v>
      </c>
      <c r="D973" s="25">
        <v>1938</v>
      </c>
      <c r="E973" s="25" t="s">
        <v>39</v>
      </c>
      <c r="F973" s="25" t="s">
        <v>77</v>
      </c>
      <c r="G973" s="28">
        <v>4</v>
      </c>
      <c r="H973" s="28">
        <v>3</v>
      </c>
      <c r="I973" s="32">
        <v>2984.3</v>
      </c>
      <c r="J973" s="32">
        <v>2571.8000000000002</v>
      </c>
      <c r="K973" s="32">
        <v>2172.9</v>
      </c>
      <c r="L973" s="35">
        <v>72</v>
      </c>
      <c r="M973" s="32">
        <f t="shared" si="254"/>
        <v>5555044</v>
      </c>
      <c r="N973" s="32">
        <v>0</v>
      </c>
      <c r="O973" s="32">
        <v>0</v>
      </c>
      <c r="P973" s="32">
        <v>0</v>
      </c>
      <c r="Q973" s="32">
        <f>'Таблица 3 '!C962</f>
        <v>5555044</v>
      </c>
      <c r="R973" s="32">
        <f t="shared" si="255"/>
        <v>5555044</v>
      </c>
      <c r="S973" s="32">
        <v>0</v>
      </c>
      <c r="T973" s="29" t="s">
        <v>39</v>
      </c>
      <c r="U973" s="29" t="s">
        <v>39</v>
      </c>
      <c r="V973" s="73">
        <v>2019</v>
      </c>
      <c r="W973" s="149"/>
      <c r="X973" s="150"/>
    </row>
    <row r="974" spans="1:24" s="145" customFormat="1" ht="44.25" customHeight="1" x14ac:dyDescent="0.25">
      <c r="A974" s="25">
        <v>7</v>
      </c>
      <c r="B974" s="34" t="s">
        <v>805</v>
      </c>
      <c r="C974" s="25" t="s">
        <v>43</v>
      </c>
      <c r="D974" s="25">
        <v>1996</v>
      </c>
      <c r="E974" s="25">
        <v>2020</v>
      </c>
      <c r="F974" s="25" t="s">
        <v>77</v>
      </c>
      <c r="G974" s="28">
        <v>9</v>
      </c>
      <c r="H974" s="28">
        <v>2</v>
      </c>
      <c r="I974" s="32">
        <v>3577.1</v>
      </c>
      <c r="J974" s="32">
        <v>3574.4</v>
      </c>
      <c r="K974" s="32">
        <v>3574.4</v>
      </c>
      <c r="L974" s="35">
        <v>38</v>
      </c>
      <c r="M974" s="32">
        <f t="shared" si="254"/>
        <v>-6359734.96</v>
      </c>
      <c r="N974" s="32">
        <v>0</v>
      </c>
      <c r="O974" s="32">
        <v>0</v>
      </c>
      <c r="P974" s="32">
        <v>0</v>
      </c>
      <c r="Q974" s="32">
        <f>'Таблица 3 '!C963</f>
        <v>-6359734.96</v>
      </c>
      <c r="R974" s="32">
        <f t="shared" si="255"/>
        <v>-6359734.96</v>
      </c>
      <c r="S974" s="32">
        <v>0</v>
      </c>
      <c r="T974" s="29" t="s">
        <v>39</v>
      </c>
      <c r="U974" s="29" t="s">
        <v>39</v>
      </c>
      <c r="V974" s="73">
        <v>2025</v>
      </c>
      <c r="W974" s="148"/>
    </row>
    <row r="975" spans="1:24" s="145" customFormat="1" ht="44.25" customHeight="1" x14ac:dyDescent="0.25">
      <c r="A975" s="25"/>
      <c r="B975" s="34" t="s">
        <v>805</v>
      </c>
      <c r="C975" s="25" t="s">
        <v>43</v>
      </c>
      <c r="D975" s="25">
        <v>1996</v>
      </c>
      <c r="E975" s="25">
        <v>2020</v>
      </c>
      <c r="F975" s="25" t="s">
        <v>77</v>
      </c>
      <c r="G975" s="28">
        <v>9</v>
      </c>
      <c r="H975" s="28">
        <v>2</v>
      </c>
      <c r="I975" s="32">
        <v>3577.1</v>
      </c>
      <c r="J975" s="32">
        <v>3574.4</v>
      </c>
      <c r="K975" s="32">
        <v>3574.4</v>
      </c>
      <c r="L975" s="35">
        <v>38</v>
      </c>
      <c r="M975" s="32">
        <f t="shared" si="254"/>
        <v>6472054.7699999996</v>
      </c>
      <c r="N975" s="32">
        <v>0</v>
      </c>
      <c r="O975" s="32">
        <v>0</v>
      </c>
      <c r="P975" s="32">
        <v>0</v>
      </c>
      <c r="Q975" s="32">
        <f>'Таблица 3 '!C964</f>
        <v>6472054.7699999996</v>
      </c>
      <c r="R975" s="32">
        <f t="shared" si="255"/>
        <v>6472054.7699999996</v>
      </c>
      <c r="S975" s="32">
        <v>0</v>
      </c>
      <c r="T975" s="29" t="s">
        <v>39</v>
      </c>
      <c r="U975" s="29" t="s">
        <v>39</v>
      </c>
      <c r="V975" s="73">
        <v>2025</v>
      </c>
      <c r="W975" s="148"/>
    </row>
    <row r="976" spans="1:24" s="145" customFormat="1" ht="44.25" customHeight="1" x14ac:dyDescent="0.25">
      <c r="A976" s="25">
        <v>8</v>
      </c>
      <c r="B976" s="34" t="s">
        <v>806</v>
      </c>
      <c r="C976" s="25" t="s">
        <v>85</v>
      </c>
      <c r="D976" s="25">
        <v>2008</v>
      </c>
      <c r="E976" s="25" t="s">
        <v>40</v>
      </c>
      <c r="F976" s="25" t="s">
        <v>77</v>
      </c>
      <c r="G976" s="28">
        <v>10</v>
      </c>
      <c r="H976" s="28">
        <v>5</v>
      </c>
      <c r="I976" s="32">
        <v>23643.5</v>
      </c>
      <c r="J976" s="32">
        <v>18487.599999999999</v>
      </c>
      <c r="K976" s="32">
        <v>17294.2</v>
      </c>
      <c r="L976" s="35">
        <v>380</v>
      </c>
      <c r="M976" s="32">
        <f t="shared" si="254"/>
        <v>5120728.3900000006</v>
      </c>
      <c r="N976" s="32">
        <v>0</v>
      </c>
      <c r="O976" s="32">
        <v>0</v>
      </c>
      <c r="P976" s="32">
        <v>0</v>
      </c>
      <c r="Q976" s="32">
        <f>'Таблица 3 '!C965</f>
        <v>5120728.3900000006</v>
      </c>
      <c r="R976" s="32">
        <f t="shared" si="255"/>
        <v>5120728.3900000006</v>
      </c>
      <c r="S976" s="32">
        <v>0</v>
      </c>
      <c r="T976" s="29" t="s">
        <v>39</v>
      </c>
      <c r="U976" s="29" t="s">
        <v>39</v>
      </c>
      <c r="V976" s="73">
        <v>2025</v>
      </c>
      <c r="W976" s="148"/>
    </row>
    <row r="977" spans="1:24" s="145" customFormat="1" ht="44.25" customHeight="1" x14ac:dyDescent="0.25">
      <c r="A977" s="25">
        <v>9</v>
      </c>
      <c r="B977" s="34" t="s">
        <v>807</v>
      </c>
      <c r="C977" s="25" t="s">
        <v>85</v>
      </c>
      <c r="D977" s="25">
        <v>1979</v>
      </c>
      <c r="E977" s="25" t="s">
        <v>40</v>
      </c>
      <c r="F977" s="25" t="s">
        <v>77</v>
      </c>
      <c r="G977" s="28">
        <v>5</v>
      </c>
      <c r="H977" s="28">
        <v>6</v>
      </c>
      <c r="I977" s="32">
        <v>5004.1000000000004</v>
      </c>
      <c r="J977" s="32">
        <v>4533.5</v>
      </c>
      <c r="K977" s="32">
        <v>3877.6</v>
      </c>
      <c r="L977" s="35">
        <v>224</v>
      </c>
      <c r="M977" s="32">
        <f t="shared" si="254"/>
        <v>2833148.84</v>
      </c>
      <c r="N977" s="32">
        <v>0</v>
      </c>
      <c r="O977" s="32">
        <v>0</v>
      </c>
      <c r="P977" s="32">
        <v>0</v>
      </c>
      <c r="Q977" s="32">
        <f>'Таблица 3 '!C966</f>
        <v>2833148.84</v>
      </c>
      <c r="R977" s="32">
        <f t="shared" si="255"/>
        <v>2833148.84</v>
      </c>
      <c r="S977" s="32">
        <v>0</v>
      </c>
      <c r="T977" s="29" t="s">
        <v>39</v>
      </c>
      <c r="U977" s="29" t="s">
        <v>39</v>
      </c>
      <c r="V977" s="73">
        <v>2025</v>
      </c>
      <c r="W977" s="148"/>
    </row>
    <row r="978" spans="1:24" s="145" customFormat="1" ht="44.25" customHeight="1" x14ac:dyDescent="0.25">
      <c r="A978" s="25">
        <v>10</v>
      </c>
      <c r="B978" s="34" t="s">
        <v>174</v>
      </c>
      <c r="C978" s="25" t="s">
        <v>43</v>
      </c>
      <c r="D978" s="25">
        <v>1978</v>
      </c>
      <c r="E978" s="25" t="s">
        <v>40</v>
      </c>
      <c r="F978" s="25" t="s">
        <v>77</v>
      </c>
      <c r="G978" s="28">
        <v>5</v>
      </c>
      <c r="H978" s="28">
        <v>4</v>
      </c>
      <c r="I978" s="32">
        <v>4525.3</v>
      </c>
      <c r="J978" s="32">
        <v>3372.3</v>
      </c>
      <c r="K978" s="32">
        <v>3158.7</v>
      </c>
      <c r="L978" s="35">
        <v>124</v>
      </c>
      <c r="M978" s="32">
        <f t="shared" si="254"/>
        <v>-10693184.220000001</v>
      </c>
      <c r="N978" s="32">
        <v>0</v>
      </c>
      <c r="O978" s="32">
        <v>0</v>
      </c>
      <c r="P978" s="32">
        <v>0</v>
      </c>
      <c r="Q978" s="32">
        <f>'Таблица 3 '!C967</f>
        <v>-10693184.220000001</v>
      </c>
      <c r="R978" s="32">
        <f t="shared" si="255"/>
        <v>-10693184.220000001</v>
      </c>
      <c r="S978" s="32">
        <v>0</v>
      </c>
      <c r="T978" s="29" t="s">
        <v>39</v>
      </c>
      <c r="U978" s="29" t="s">
        <v>39</v>
      </c>
      <c r="V978" s="73">
        <v>2025</v>
      </c>
      <c r="W978" s="148"/>
    </row>
    <row r="979" spans="1:24" s="145" customFormat="1" ht="44.25" customHeight="1" x14ac:dyDescent="0.25">
      <c r="A979" s="25"/>
      <c r="B979" s="34" t="s">
        <v>174</v>
      </c>
      <c r="C979" s="25" t="s">
        <v>43</v>
      </c>
      <c r="D979" s="25">
        <v>1978</v>
      </c>
      <c r="E979" s="25" t="s">
        <v>40</v>
      </c>
      <c r="F979" s="25" t="s">
        <v>77</v>
      </c>
      <c r="G979" s="28">
        <v>5</v>
      </c>
      <c r="H979" s="28">
        <v>4</v>
      </c>
      <c r="I979" s="32">
        <v>4525.3</v>
      </c>
      <c r="J979" s="32">
        <v>3372.3</v>
      </c>
      <c r="K979" s="32">
        <v>3158.7</v>
      </c>
      <c r="L979" s="35">
        <v>124</v>
      </c>
      <c r="M979" s="32">
        <f t="shared" si="254"/>
        <v>10795086.539999999</v>
      </c>
      <c r="N979" s="32">
        <v>0</v>
      </c>
      <c r="O979" s="32">
        <v>0</v>
      </c>
      <c r="P979" s="32">
        <v>0</v>
      </c>
      <c r="Q979" s="32">
        <f>'Таблица 3 '!C968</f>
        <v>10795086.539999999</v>
      </c>
      <c r="R979" s="32">
        <f t="shared" si="255"/>
        <v>10795086.539999999</v>
      </c>
      <c r="S979" s="32">
        <v>0</v>
      </c>
      <c r="T979" s="29" t="s">
        <v>39</v>
      </c>
      <c r="U979" s="29" t="s">
        <v>39</v>
      </c>
      <c r="V979" s="73">
        <v>2025</v>
      </c>
      <c r="W979" s="148"/>
    </row>
    <row r="980" spans="1:24" s="145" customFormat="1" ht="44.25" customHeight="1" x14ac:dyDescent="0.25">
      <c r="A980" s="25">
        <v>11</v>
      </c>
      <c r="B980" s="34" t="s">
        <v>808</v>
      </c>
      <c r="C980" s="25" t="s">
        <v>85</v>
      </c>
      <c r="D980" s="25">
        <v>1983</v>
      </c>
      <c r="E980" s="25" t="s">
        <v>40</v>
      </c>
      <c r="F980" s="25" t="s">
        <v>48</v>
      </c>
      <c r="G980" s="28">
        <v>5</v>
      </c>
      <c r="H980" s="28">
        <v>4</v>
      </c>
      <c r="I980" s="32">
        <v>3010.1</v>
      </c>
      <c r="J980" s="32">
        <v>3000</v>
      </c>
      <c r="K980" s="32">
        <v>3000</v>
      </c>
      <c r="L980" s="35">
        <v>124</v>
      </c>
      <c r="M980" s="32">
        <f t="shared" si="254"/>
        <v>1476875.8</v>
      </c>
      <c r="N980" s="32">
        <v>0</v>
      </c>
      <c r="O980" s="32">
        <v>0</v>
      </c>
      <c r="P980" s="32">
        <v>0</v>
      </c>
      <c r="Q980" s="32">
        <f>'Таблица 3 '!C969</f>
        <v>1476875.8</v>
      </c>
      <c r="R980" s="32">
        <f t="shared" si="255"/>
        <v>1476875.8</v>
      </c>
      <c r="S980" s="32">
        <v>0</v>
      </c>
      <c r="T980" s="29" t="s">
        <v>39</v>
      </c>
      <c r="U980" s="29" t="s">
        <v>39</v>
      </c>
      <c r="V980" s="73">
        <v>2025</v>
      </c>
      <c r="W980" s="148"/>
    </row>
    <row r="981" spans="1:24" s="145" customFormat="1" ht="44.25" customHeight="1" x14ac:dyDescent="0.25">
      <c r="A981" s="25">
        <v>12</v>
      </c>
      <c r="B981" s="34" t="s">
        <v>809</v>
      </c>
      <c r="C981" s="25" t="s">
        <v>85</v>
      </c>
      <c r="D981" s="25">
        <v>1980</v>
      </c>
      <c r="E981" s="25" t="s">
        <v>40</v>
      </c>
      <c r="F981" s="25" t="s">
        <v>77</v>
      </c>
      <c r="G981" s="28">
        <v>5</v>
      </c>
      <c r="H981" s="28">
        <v>7</v>
      </c>
      <c r="I981" s="32">
        <v>5228.2</v>
      </c>
      <c r="J981" s="32">
        <v>5211.2</v>
      </c>
      <c r="K981" s="32">
        <v>4887.8</v>
      </c>
      <c r="L981" s="35">
        <v>174</v>
      </c>
      <c r="M981" s="32">
        <f t="shared" si="254"/>
        <v>35738</v>
      </c>
      <c r="N981" s="32">
        <v>0</v>
      </c>
      <c r="O981" s="32">
        <v>0</v>
      </c>
      <c r="P981" s="32">
        <v>0</v>
      </c>
      <c r="Q981" s="32">
        <f>'Таблица 3 '!C970</f>
        <v>35738</v>
      </c>
      <c r="R981" s="32">
        <f t="shared" si="255"/>
        <v>35738</v>
      </c>
      <c r="S981" s="32">
        <v>0</v>
      </c>
      <c r="T981" s="29" t="s">
        <v>39</v>
      </c>
      <c r="U981" s="29" t="s">
        <v>39</v>
      </c>
      <c r="V981" s="73">
        <v>2025</v>
      </c>
      <c r="W981" s="148"/>
    </row>
    <row r="982" spans="1:24" s="145" customFormat="1" ht="44.25" customHeight="1" x14ac:dyDescent="0.25">
      <c r="A982" s="25">
        <v>13</v>
      </c>
      <c r="B982" s="34" t="s">
        <v>810</v>
      </c>
      <c r="C982" s="25" t="s">
        <v>85</v>
      </c>
      <c r="D982" s="25">
        <v>2006</v>
      </c>
      <c r="E982" s="25" t="s">
        <v>39</v>
      </c>
      <c r="F982" s="25" t="s">
        <v>48</v>
      </c>
      <c r="G982" s="28">
        <v>9</v>
      </c>
      <c r="H982" s="28">
        <v>3</v>
      </c>
      <c r="I982" s="32">
        <v>7786.3</v>
      </c>
      <c r="J982" s="32">
        <v>7770.1</v>
      </c>
      <c r="K982" s="32">
        <v>7634.2</v>
      </c>
      <c r="L982" s="35">
        <v>211</v>
      </c>
      <c r="M982" s="32">
        <f t="shared" si="254"/>
        <v>3472303.25</v>
      </c>
      <c r="N982" s="32">
        <v>0</v>
      </c>
      <c r="O982" s="32">
        <v>0</v>
      </c>
      <c r="P982" s="32">
        <v>0</v>
      </c>
      <c r="Q982" s="32">
        <f>'Таблица 3 '!C971</f>
        <v>3472303.25</v>
      </c>
      <c r="R982" s="32">
        <f t="shared" si="255"/>
        <v>3472303.25</v>
      </c>
      <c r="S982" s="32">
        <v>0</v>
      </c>
      <c r="T982" s="29" t="s">
        <v>39</v>
      </c>
      <c r="U982" s="29" t="s">
        <v>39</v>
      </c>
      <c r="V982" s="73">
        <v>2025</v>
      </c>
      <c r="W982" s="148"/>
    </row>
    <row r="983" spans="1:24" s="145" customFormat="1" ht="44.25" customHeight="1" x14ac:dyDescent="0.25">
      <c r="A983" s="25">
        <v>14</v>
      </c>
      <c r="B983" s="34" t="s">
        <v>811</v>
      </c>
      <c r="C983" s="25" t="s">
        <v>85</v>
      </c>
      <c r="D983" s="25">
        <v>1981</v>
      </c>
      <c r="E983" s="25" t="s">
        <v>39</v>
      </c>
      <c r="F983" s="25" t="s">
        <v>48</v>
      </c>
      <c r="G983" s="28">
        <v>5</v>
      </c>
      <c r="H983" s="28">
        <v>4</v>
      </c>
      <c r="I983" s="32">
        <v>4287.8999999999996</v>
      </c>
      <c r="J983" s="32">
        <v>3602.9</v>
      </c>
      <c r="K983" s="32">
        <v>3602.9</v>
      </c>
      <c r="L983" s="35">
        <v>121</v>
      </c>
      <c r="M983" s="32">
        <f t="shared" si="254"/>
        <v>1087519.95</v>
      </c>
      <c r="N983" s="32">
        <v>0</v>
      </c>
      <c r="O983" s="32">
        <v>0</v>
      </c>
      <c r="P983" s="32">
        <v>0</v>
      </c>
      <c r="Q983" s="32">
        <f>'Таблица 3 '!C972</f>
        <v>1087519.95</v>
      </c>
      <c r="R983" s="32">
        <f t="shared" si="255"/>
        <v>1087519.95</v>
      </c>
      <c r="S983" s="32">
        <v>0</v>
      </c>
      <c r="T983" s="29" t="s">
        <v>39</v>
      </c>
      <c r="U983" s="29" t="s">
        <v>39</v>
      </c>
      <c r="V983" s="73">
        <v>2025</v>
      </c>
      <c r="W983" s="149"/>
      <c r="X983" s="150"/>
    </row>
    <row r="984" spans="1:24" s="145" customFormat="1" ht="44.25" customHeight="1" x14ac:dyDescent="0.25">
      <c r="A984" s="25">
        <v>15</v>
      </c>
      <c r="B984" s="34" t="s">
        <v>812</v>
      </c>
      <c r="C984" s="25" t="s">
        <v>43</v>
      </c>
      <c r="D984" s="25">
        <v>1984</v>
      </c>
      <c r="E984" s="25" t="s">
        <v>40</v>
      </c>
      <c r="F984" s="25" t="s">
        <v>48</v>
      </c>
      <c r="G984" s="28">
        <v>5</v>
      </c>
      <c r="H984" s="28">
        <v>4</v>
      </c>
      <c r="I984" s="32">
        <v>4006</v>
      </c>
      <c r="J984" s="32">
        <v>2932</v>
      </c>
      <c r="K984" s="32">
        <v>2831.3</v>
      </c>
      <c r="L984" s="35">
        <v>118</v>
      </c>
      <c r="M984" s="32">
        <f t="shared" si="254"/>
        <v>-2301256.7999999998</v>
      </c>
      <c r="N984" s="32">
        <v>0</v>
      </c>
      <c r="O984" s="32">
        <v>0</v>
      </c>
      <c r="P984" s="32">
        <v>0</v>
      </c>
      <c r="Q984" s="32">
        <f>'Таблица 3 '!C973</f>
        <v>-2301256.7999999998</v>
      </c>
      <c r="R984" s="32">
        <f t="shared" si="255"/>
        <v>-2301256.7999999998</v>
      </c>
      <c r="S984" s="32">
        <v>0</v>
      </c>
      <c r="T984" s="29" t="s">
        <v>39</v>
      </c>
      <c r="U984" s="29" t="s">
        <v>39</v>
      </c>
      <c r="V984" s="73">
        <v>2025</v>
      </c>
      <c r="W984" s="148"/>
    </row>
    <row r="985" spans="1:24" s="145" customFormat="1" ht="44.25" customHeight="1" x14ac:dyDescent="0.25">
      <c r="A985" s="25"/>
      <c r="B985" s="34" t="s">
        <v>812</v>
      </c>
      <c r="C985" s="25" t="s">
        <v>43</v>
      </c>
      <c r="D985" s="25">
        <v>1984</v>
      </c>
      <c r="E985" s="25" t="s">
        <v>40</v>
      </c>
      <c r="F985" s="25" t="s">
        <v>48</v>
      </c>
      <c r="G985" s="28">
        <v>5</v>
      </c>
      <c r="H985" s="28">
        <v>4</v>
      </c>
      <c r="I985" s="32">
        <v>4006</v>
      </c>
      <c r="J985" s="32">
        <v>2932</v>
      </c>
      <c r="K985" s="32">
        <v>2831.3</v>
      </c>
      <c r="L985" s="35">
        <v>118</v>
      </c>
      <c r="M985" s="32">
        <f t="shared" si="254"/>
        <v>2301526.7999999998</v>
      </c>
      <c r="N985" s="32">
        <v>0</v>
      </c>
      <c r="O985" s="32">
        <v>0</v>
      </c>
      <c r="P985" s="32">
        <v>0</v>
      </c>
      <c r="Q985" s="32">
        <f>'Таблица 3 '!C974</f>
        <v>2301526.7999999998</v>
      </c>
      <c r="R985" s="32">
        <f t="shared" si="255"/>
        <v>2301526.7999999998</v>
      </c>
      <c r="S985" s="32">
        <v>0</v>
      </c>
      <c r="T985" s="29" t="s">
        <v>39</v>
      </c>
      <c r="U985" s="29" t="s">
        <v>39</v>
      </c>
      <c r="V985" s="73">
        <v>2025</v>
      </c>
      <c r="W985" s="148"/>
    </row>
    <row r="986" spans="1:24" s="145" customFormat="1" ht="44.25" customHeight="1" x14ac:dyDescent="0.25">
      <c r="A986" s="25">
        <v>16</v>
      </c>
      <c r="B986" s="34" t="s">
        <v>813</v>
      </c>
      <c r="C986" s="25" t="s">
        <v>43</v>
      </c>
      <c r="D986" s="25">
        <v>1966</v>
      </c>
      <c r="E986" s="25" t="s">
        <v>39</v>
      </c>
      <c r="F986" s="25" t="s">
        <v>48</v>
      </c>
      <c r="G986" s="28">
        <v>5</v>
      </c>
      <c r="H986" s="28">
        <v>4</v>
      </c>
      <c r="I986" s="32">
        <v>3659.4</v>
      </c>
      <c r="J986" s="32">
        <v>3659.4</v>
      </c>
      <c r="K986" s="32">
        <v>3566.6</v>
      </c>
      <c r="L986" s="35">
        <v>101</v>
      </c>
      <c r="M986" s="32">
        <f t="shared" si="254"/>
        <v>-2940034.61</v>
      </c>
      <c r="N986" s="32">
        <v>0</v>
      </c>
      <c r="O986" s="32">
        <v>0</v>
      </c>
      <c r="P986" s="32">
        <v>0</v>
      </c>
      <c r="Q986" s="32">
        <f>'Таблица 3 '!C975</f>
        <v>-2940034.61</v>
      </c>
      <c r="R986" s="32">
        <f t="shared" si="255"/>
        <v>-2940034.61</v>
      </c>
      <c r="S986" s="32">
        <v>0</v>
      </c>
      <c r="T986" s="29" t="s">
        <v>39</v>
      </c>
      <c r="U986" s="29" t="s">
        <v>39</v>
      </c>
      <c r="V986" s="73">
        <v>2019</v>
      </c>
      <c r="W986" s="149"/>
      <c r="X986" s="150"/>
    </row>
    <row r="987" spans="1:24" s="145" customFormat="1" ht="44.25" customHeight="1" x14ac:dyDescent="0.25">
      <c r="A987" s="25"/>
      <c r="B987" s="34" t="s">
        <v>813</v>
      </c>
      <c r="C987" s="25" t="s">
        <v>43</v>
      </c>
      <c r="D987" s="25">
        <v>1966</v>
      </c>
      <c r="E987" s="25" t="s">
        <v>39</v>
      </c>
      <c r="F987" s="25" t="s">
        <v>48</v>
      </c>
      <c r="G987" s="28">
        <v>5</v>
      </c>
      <c r="H987" s="28">
        <v>4</v>
      </c>
      <c r="I987" s="32">
        <v>3659.4</v>
      </c>
      <c r="J987" s="32">
        <v>3659.4</v>
      </c>
      <c r="K987" s="32">
        <v>3566.6</v>
      </c>
      <c r="L987" s="35">
        <v>101</v>
      </c>
      <c r="M987" s="32">
        <f t="shared" si="254"/>
        <v>3134160.15</v>
      </c>
      <c r="N987" s="32">
        <v>0</v>
      </c>
      <c r="O987" s="32">
        <v>0</v>
      </c>
      <c r="P987" s="32">
        <v>0</v>
      </c>
      <c r="Q987" s="32">
        <f>'Таблица 3 '!C976</f>
        <v>3134160.15</v>
      </c>
      <c r="R987" s="32">
        <f t="shared" si="255"/>
        <v>3134160.15</v>
      </c>
      <c r="S987" s="32">
        <v>0</v>
      </c>
      <c r="T987" s="29" t="s">
        <v>39</v>
      </c>
      <c r="U987" s="29" t="s">
        <v>39</v>
      </c>
      <c r="V987" s="73">
        <v>2019</v>
      </c>
      <c r="W987" s="149"/>
      <c r="X987" s="150"/>
    </row>
    <row r="988" spans="1:24" s="145" customFormat="1" ht="44.25" customHeight="1" x14ac:dyDescent="0.25">
      <c r="A988" s="25">
        <v>17</v>
      </c>
      <c r="B988" s="34" t="s">
        <v>207</v>
      </c>
      <c r="C988" s="25" t="s">
        <v>43</v>
      </c>
      <c r="D988" s="25">
        <v>1978</v>
      </c>
      <c r="E988" s="25">
        <v>2019</v>
      </c>
      <c r="F988" s="25" t="s">
        <v>77</v>
      </c>
      <c r="G988" s="28">
        <v>5</v>
      </c>
      <c r="H988" s="28">
        <v>6</v>
      </c>
      <c r="I988" s="32">
        <v>5770.5</v>
      </c>
      <c r="J988" s="32">
        <v>4274.8999999999996</v>
      </c>
      <c r="K988" s="32">
        <v>4187.6000000000004</v>
      </c>
      <c r="L988" s="35">
        <v>238</v>
      </c>
      <c r="M988" s="32">
        <f t="shared" si="254"/>
        <v>-2425939.2000000002</v>
      </c>
      <c r="N988" s="32">
        <v>0</v>
      </c>
      <c r="O988" s="32">
        <v>0</v>
      </c>
      <c r="P988" s="32">
        <v>0</v>
      </c>
      <c r="Q988" s="32">
        <f>'Таблица 3 '!C977</f>
        <v>-2425939.2000000002</v>
      </c>
      <c r="R988" s="32">
        <f t="shared" si="255"/>
        <v>-2425939.2000000002</v>
      </c>
      <c r="S988" s="32">
        <v>0</v>
      </c>
      <c r="T988" s="29" t="s">
        <v>39</v>
      </c>
      <c r="U988" s="29" t="s">
        <v>39</v>
      </c>
      <c r="V988" s="73">
        <v>2024</v>
      </c>
      <c r="W988" s="148"/>
    </row>
    <row r="989" spans="1:24" s="145" customFormat="1" ht="44.25" customHeight="1" x14ac:dyDescent="0.25">
      <c r="A989" s="25"/>
      <c r="B989" s="34" t="s">
        <v>207</v>
      </c>
      <c r="C989" s="25" t="s">
        <v>43</v>
      </c>
      <c r="D989" s="25">
        <v>1978</v>
      </c>
      <c r="E989" s="25">
        <v>2019</v>
      </c>
      <c r="F989" s="25" t="s">
        <v>77</v>
      </c>
      <c r="G989" s="28">
        <v>5</v>
      </c>
      <c r="H989" s="28">
        <v>6</v>
      </c>
      <c r="I989" s="32">
        <v>5770.5</v>
      </c>
      <c r="J989" s="32">
        <v>4274.8999999999996</v>
      </c>
      <c r="K989" s="32">
        <v>4187.6000000000004</v>
      </c>
      <c r="L989" s="35">
        <v>238</v>
      </c>
      <c r="M989" s="32">
        <f t="shared" si="254"/>
        <v>3102376.8</v>
      </c>
      <c r="N989" s="32">
        <v>0</v>
      </c>
      <c r="O989" s="32">
        <v>0</v>
      </c>
      <c r="P989" s="32">
        <v>0</v>
      </c>
      <c r="Q989" s="32">
        <f>'Таблица 3 '!C978</f>
        <v>3102376.8</v>
      </c>
      <c r="R989" s="32">
        <f t="shared" si="255"/>
        <v>3102376.8</v>
      </c>
      <c r="S989" s="32">
        <v>0</v>
      </c>
      <c r="T989" s="29" t="s">
        <v>39</v>
      </c>
      <c r="U989" s="29" t="s">
        <v>39</v>
      </c>
      <c r="V989" s="73">
        <v>2024</v>
      </c>
      <c r="W989" s="148"/>
    </row>
    <row r="990" spans="1:24" s="145" customFormat="1" ht="44.25" customHeight="1" x14ac:dyDescent="0.25">
      <c r="A990" s="25">
        <v>18</v>
      </c>
      <c r="B990" s="34" t="s">
        <v>814</v>
      </c>
      <c r="C990" s="25" t="s">
        <v>43</v>
      </c>
      <c r="D990" s="25">
        <v>1961</v>
      </c>
      <c r="E990" s="25" t="s">
        <v>40</v>
      </c>
      <c r="F990" s="25" t="s">
        <v>44</v>
      </c>
      <c r="G990" s="28">
        <v>5</v>
      </c>
      <c r="H990" s="28">
        <v>3</v>
      </c>
      <c r="I990" s="32">
        <v>4377.8999999999996</v>
      </c>
      <c r="J990" s="32">
        <v>3015.5</v>
      </c>
      <c r="K990" s="32">
        <v>3015.5</v>
      </c>
      <c r="L990" s="35">
        <v>68</v>
      </c>
      <c r="M990" s="32">
        <f t="shared" si="254"/>
        <v>-10590316.800000001</v>
      </c>
      <c r="N990" s="32">
        <v>0</v>
      </c>
      <c r="O990" s="32">
        <v>0</v>
      </c>
      <c r="P990" s="32">
        <v>0</v>
      </c>
      <c r="Q990" s="32">
        <f>'Таблица 3 '!C979</f>
        <v>-10590316.800000001</v>
      </c>
      <c r="R990" s="32">
        <f t="shared" si="255"/>
        <v>-10590316.800000001</v>
      </c>
      <c r="S990" s="32">
        <v>0</v>
      </c>
      <c r="T990" s="29" t="s">
        <v>39</v>
      </c>
      <c r="U990" s="29" t="s">
        <v>39</v>
      </c>
      <c r="V990" s="73">
        <v>2024</v>
      </c>
      <c r="W990" s="148"/>
    </row>
    <row r="991" spans="1:24" s="145" customFormat="1" ht="44.25" customHeight="1" x14ac:dyDescent="0.25">
      <c r="A991" s="25"/>
      <c r="B991" s="34" t="s">
        <v>814</v>
      </c>
      <c r="C991" s="25" t="s">
        <v>43</v>
      </c>
      <c r="D991" s="25">
        <v>1961</v>
      </c>
      <c r="E991" s="25" t="s">
        <v>40</v>
      </c>
      <c r="F991" s="25" t="s">
        <v>44</v>
      </c>
      <c r="G991" s="28">
        <v>5</v>
      </c>
      <c r="H991" s="28">
        <v>3</v>
      </c>
      <c r="I991" s="32">
        <v>4377.8999999999996</v>
      </c>
      <c r="J991" s="32">
        <v>3015.5</v>
      </c>
      <c r="K991" s="32">
        <v>3015.5</v>
      </c>
      <c r="L991" s="35">
        <v>68</v>
      </c>
      <c r="M991" s="32">
        <f t="shared" si="254"/>
        <v>10550846.800000001</v>
      </c>
      <c r="N991" s="32">
        <v>0</v>
      </c>
      <c r="O991" s="32">
        <v>0</v>
      </c>
      <c r="P991" s="32">
        <v>0</v>
      </c>
      <c r="Q991" s="32">
        <f>'Таблица 3 '!C980</f>
        <v>10550846.800000001</v>
      </c>
      <c r="R991" s="32">
        <f t="shared" si="255"/>
        <v>10550846.800000001</v>
      </c>
      <c r="S991" s="32">
        <v>0</v>
      </c>
      <c r="T991" s="29" t="s">
        <v>39</v>
      </c>
      <c r="U991" s="29" t="s">
        <v>39</v>
      </c>
      <c r="V991" s="73">
        <v>2024</v>
      </c>
      <c r="W991" s="148"/>
    </row>
    <row r="992" spans="1:24" s="145" customFormat="1" ht="44.25" customHeight="1" x14ac:dyDescent="0.25">
      <c r="A992" s="25">
        <v>19</v>
      </c>
      <c r="B992" s="34" t="s">
        <v>815</v>
      </c>
      <c r="C992" s="25" t="s">
        <v>85</v>
      </c>
      <c r="D992" s="25">
        <v>1976</v>
      </c>
      <c r="E992" s="25" t="s">
        <v>39</v>
      </c>
      <c r="F992" s="25" t="s">
        <v>48</v>
      </c>
      <c r="G992" s="28">
        <v>5</v>
      </c>
      <c r="H992" s="28">
        <v>5</v>
      </c>
      <c r="I992" s="32">
        <v>5151.1000000000004</v>
      </c>
      <c r="J992" s="32">
        <v>4557.3</v>
      </c>
      <c r="K992" s="32">
        <v>4557.3</v>
      </c>
      <c r="L992" s="35">
        <v>183</v>
      </c>
      <c r="M992" s="32">
        <f t="shared" si="254"/>
        <v>271360</v>
      </c>
      <c r="N992" s="32">
        <v>0</v>
      </c>
      <c r="O992" s="32">
        <v>0</v>
      </c>
      <c r="P992" s="32">
        <v>0</v>
      </c>
      <c r="Q992" s="32">
        <f>'Таблица 3 '!C981</f>
        <v>271360</v>
      </c>
      <c r="R992" s="32">
        <f t="shared" si="255"/>
        <v>271360</v>
      </c>
      <c r="S992" s="32">
        <v>0</v>
      </c>
      <c r="T992" s="29" t="s">
        <v>39</v>
      </c>
      <c r="U992" s="29" t="s">
        <v>39</v>
      </c>
      <c r="V992" s="73">
        <v>2024</v>
      </c>
      <c r="W992" s="148"/>
    </row>
    <row r="993" spans="1:23" s="145" customFormat="1" ht="44.25" customHeight="1" x14ac:dyDescent="0.25">
      <c r="A993" s="25">
        <v>20</v>
      </c>
      <c r="B993" s="34" t="s">
        <v>816</v>
      </c>
      <c r="C993" s="25" t="s">
        <v>43</v>
      </c>
      <c r="D993" s="25">
        <v>1971</v>
      </c>
      <c r="E993" s="25" t="s">
        <v>39</v>
      </c>
      <c r="F993" s="25" t="s">
        <v>77</v>
      </c>
      <c r="G993" s="28">
        <v>5</v>
      </c>
      <c r="H993" s="28">
        <v>2</v>
      </c>
      <c r="I993" s="32">
        <v>1770.9</v>
      </c>
      <c r="J993" s="32">
        <v>17770.900000000001</v>
      </c>
      <c r="K993" s="32">
        <v>1770.9</v>
      </c>
      <c r="L993" s="35">
        <v>62</v>
      </c>
      <c r="M993" s="32">
        <f t="shared" si="254"/>
        <v>-1745876.86</v>
      </c>
      <c r="N993" s="32">
        <v>0</v>
      </c>
      <c r="O993" s="32">
        <v>0</v>
      </c>
      <c r="P993" s="32">
        <v>0</v>
      </c>
      <c r="Q993" s="32">
        <f>'Таблица 3 '!C982</f>
        <v>-1745876.86</v>
      </c>
      <c r="R993" s="32">
        <f t="shared" si="255"/>
        <v>-1745876.86</v>
      </c>
      <c r="S993" s="32">
        <v>0</v>
      </c>
      <c r="T993" s="29" t="s">
        <v>39</v>
      </c>
      <c r="U993" s="29" t="s">
        <v>39</v>
      </c>
      <c r="V993" s="73">
        <v>2024</v>
      </c>
      <c r="W993" s="148"/>
    </row>
    <row r="994" spans="1:23" s="145" customFormat="1" ht="44.25" customHeight="1" x14ac:dyDescent="0.25">
      <c r="A994" s="25"/>
      <c r="B994" s="34" t="s">
        <v>816</v>
      </c>
      <c r="C994" s="25" t="s">
        <v>43</v>
      </c>
      <c r="D994" s="25">
        <v>1971</v>
      </c>
      <c r="E994" s="25" t="s">
        <v>39</v>
      </c>
      <c r="F994" s="25" t="s">
        <v>77</v>
      </c>
      <c r="G994" s="28">
        <v>5</v>
      </c>
      <c r="H994" s="28">
        <v>2</v>
      </c>
      <c r="I994" s="32">
        <v>1770.9</v>
      </c>
      <c r="J994" s="32">
        <v>17770.900000000001</v>
      </c>
      <c r="K994" s="32">
        <v>1770.9</v>
      </c>
      <c r="L994" s="35">
        <v>62</v>
      </c>
      <c r="M994" s="32">
        <f t="shared" si="254"/>
        <v>1626153.76</v>
      </c>
      <c r="N994" s="32">
        <v>0</v>
      </c>
      <c r="O994" s="32">
        <v>0</v>
      </c>
      <c r="P994" s="32">
        <v>0</v>
      </c>
      <c r="Q994" s="32">
        <f>'Таблица 3 '!C983</f>
        <v>1626153.76</v>
      </c>
      <c r="R994" s="32">
        <f t="shared" si="255"/>
        <v>1626153.76</v>
      </c>
      <c r="S994" s="32">
        <v>0</v>
      </c>
      <c r="T994" s="29" t="s">
        <v>39</v>
      </c>
      <c r="U994" s="29" t="s">
        <v>39</v>
      </c>
      <c r="V994" s="73">
        <v>2024</v>
      </c>
      <c r="W994" s="148"/>
    </row>
    <row r="995" spans="1:23" s="145" customFormat="1" ht="44.25" customHeight="1" x14ac:dyDescent="0.25">
      <c r="A995" s="25">
        <v>21</v>
      </c>
      <c r="B995" s="34" t="s">
        <v>631</v>
      </c>
      <c r="C995" s="25" t="s">
        <v>85</v>
      </c>
      <c r="D995" s="25">
        <v>1996</v>
      </c>
      <c r="E995" s="25" t="s">
        <v>39</v>
      </c>
      <c r="F995" s="25" t="s">
        <v>77</v>
      </c>
      <c r="G995" s="28">
        <v>9</v>
      </c>
      <c r="H995" s="28">
        <v>4</v>
      </c>
      <c r="I995" s="32">
        <v>10131.4</v>
      </c>
      <c r="J995" s="32">
        <v>10083.6</v>
      </c>
      <c r="K995" s="32">
        <v>10083.6</v>
      </c>
      <c r="L995" s="35">
        <v>225</v>
      </c>
      <c r="M995" s="32">
        <f t="shared" si="254"/>
        <v>2425079</v>
      </c>
      <c r="N995" s="32">
        <v>0</v>
      </c>
      <c r="O995" s="32">
        <v>0</v>
      </c>
      <c r="P995" s="32">
        <v>0</v>
      </c>
      <c r="Q995" s="32">
        <f>'Таблица 3 '!C984</f>
        <v>2425079</v>
      </c>
      <c r="R995" s="32">
        <f t="shared" si="255"/>
        <v>2425079</v>
      </c>
      <c r="S995" s="32">
        <v>0</v>
      </c>
      <c r="T995" s="29" t="s">
        <v>39</v>
      </c>
      <c r="U995" s="29" t="s">
        <v>39</v>
      </c>
      <c r="V995" s="73">
        <v>2025</v>
      </c>
      <c r="W995" s="148"/>
    </row>
    <row r="996" spans="1:23" s="145" customFormat="1" ht="44.25" customHeight="1" x14ac:dyDescent="0.25">
      <c r="A996" s="25">
        <v>22</v>
      </c>
      <c r="B996" s="34" t="s">
        <v>278</v>
      </c>
      <c r="C996" s="25" t="s">
        <v>85</v>
      </c>
      <c r="D996" s="25">
        <v>2002</v>
      </c>
      <c r="E996" s="25" t="s">
        <v>39</v>
      </c>
      <c r="F996" s="25" t="s">
        <v>77</v>
      </c>
      <c r="G996" s="28">
        <v>10</v>
      </c>
      <c r="H996" s="28">
        <v>7</v>
      </c>
      <c r="I996" s="32">
        <v>14491.5</v>
      </c>
      <c r="J996" s="32">
        <v>11593.2</v>
      </c>
      <c r="K996" s="32">
        <v>11593.2</v>
      </c>
      <c r="L996" s="35">
        <v>245</v>
      </c>
      <c r="M996" s="32">
        <f t="shared" si="254"/>
        <v>4921032.88</v>
      </c>
      <c r="N996" s="32">
        <v>0</v>
      </c>
      <c r="O996" s="32">
        <v>0</v>
      </c>
      <c r="P996" s="32">
        <v>0</v>
      </c>
      <c r="Q996" s="32">
        <f>'Таблица 3 '!C985</f>
        <v>4921032.88</v>
      </c>
      <c r="R996" s="32">
        <f t="shared" si="255"/>
        <v>4921032.88</v>
      </c>
      <c r="S996" s="32">
        <v>0</v>
      </c>
      <c r="T996" s="29" t="s">
        <v>39</v>
      </c>
      <c r="U996" s="29" t="s">
        <v>39</v>
      </c>
      <c r="V996" s="73">
        <v>2023.2023999999999</v>
      </c>
      <c r="W996" s="148"/>
    </row>
    <row r="997" spans="1:23" s="145" customFormat="1" ht="44.25" customHeight="1" x14ac:dyDescent="0.25">
      <c r="A997" s="25">
        <v>23</v>
      </c>
      <c r="B997" s="34" t="s">
        <v>817</v>
      </c>
      <c r="C997" s="25" t="s">
        <v>85</v>
      </c>
      <c r="D997" s="25">
        <v>1979</v>
      </c>
      <c r="E997" s="25" t="s">
        <v>39</v>
      </c>
      <c r="F997" s="25" t="s">
        <v>48</v>
      </c>
      <c r="G997" s="28">
        <v>5</v>
      </c>
      <c r="H997" s="28">
        <v>6</v>
      </c>
      <c r="I997" s="32">
        <v>4394.3</v>
      </c>
      <c r="J997" s="32">
        <v>4394.3</v>
      </c>
      <c r="K997" s="32">
        <v>4098.3999999999996</v>
      </c>
      <c r="L997" s="35">
        <v>157</v>
      </c>
      <c r="M997" s="32">
        <f t="shared" si="254"/>
        <v>993075.77</v>
      </c>
      <c r="N997" s="32">
        <v>0</v>
      </c>
      <c r="O997" s="32">
        <v>0</v>
      </c>
      <c r="P997" s="32">
        <v>0</v>
      </c>
      <c r="Q997" s="32">
        <f>'Таблица 3 '!C986</f>
        <v>993075.77</v>
      </c>
      <c r="R997" s="32">
        <f t="shared" si="255"/>
        <v>993075.77</v>
      </c>
      <c r="S997" s="32">
        <v>0</v>
      </c>
      <c r="T997" s="29" t="s">
        <v>39</v>
      </c>
      <c r="U997" s="29" t="s">
        <v>39</v>
      </c>
      <c r="V997" s="73">
        <v>2025</v>
      </c>
      <c r="W997" s="148"/>
    </row>
    <row r="998" spans="1:23" s="145" customFormat="1" ht="44.25" customHeight="1" x14ac:dyDescent="0.25">
      <c r="A998" s="25">
        <v>24</v>
      </c>
      <c r="B998" s="34" t="s">
        <v>818</v>
      </c>
      <c r="C998" s="25" t="s">
        <v>85</v>
      </c>
      <c r="D998" s="25">
        <v>1979</v>
      </c>
      <c r="E998" s="25" t="s">
        <v>39</v>
      </c>
      <c r="F998" s="25" t="s">
        <v>48</v>
      </c>
      <c r="G998" s="28">
        <v>5</v>
      </c>
      <c r="H998" s="28">
        <v>7</v>
      </c>
      <c r="I998" s="32">
        <v>6901.9</v>
      </c>
      <c r="J998" s="32">
        <v>5146.8</v>
      </c>
      <c r="K998" s="32">
        <v>5146.8</v>
      </c>
      <c r="L998" s="35">
        <v>250</v>
      </c>
      <c r="M998" s="32">
        <f t="shared" si="254"/>
        <v>-1943409.49</v>
      </c>
      <c r="N998" s="32">
        <v>0</v>
      </c>
      <c r="O998" s="32">
        <v>0</v>
      </c>
      <c r="P998" s="32">
        <v>0</v>
      </c>
      <c r="Q998" s="32">
        <f>'Таблица 3 '!C987</f>
        <v>-1943409.49</v>
      </c>
      <c r="R998" s="32">
        <f t="shared" si="255"/>
        <v>-1943409.49</v>
      </c>
      <c r="S998" s="32">
        <v>0</v>
      </c>
      <c r="T998" s="29" t="s">
        <v>39</v>
      </c>
      <c r="U998" s="29" t="s">
        <v>39</v>
      </c>
      <c r="V998" s="73">
        <v>2024</v>
      </c>
      <c r="W998" s="148"/>
    </row>
    <row r="999" spans="1:23" s="145" customFormat="1" ht="44.25" customHeight="1" x14ac:dyDescent="0.25">
      <c r="A999" s="25"/>
      <c r="B999" s="34" t="s">
        <v>818</v>
      </c>
      <c r="C999" s="25" t="s">
        <v>85</v>
      </c>
      <c r="D999" s="25">
        <v>1979</v>
      </c>
      <c r="E999" s="25" t="s">
        <v>39</v>
      </c>
      <c r="F999" s="25" t="s">
        <v>48</v>
      </c>
      <c r="G999" s="28">
        <v>5</v>
      </c>
      <c r="H999" s="28">
        <v>7</v>
      </c>
      <c r="I999" s="32">
        <v>6901.9</v>
      </c>
      <c r="J999" s="32">
        <v>5146.8</v>
      </c>
      <c r="K999" s="32">
        <v>5146.8</v>
      </c>
      <c r="L999" s="35">
        <v>250</v>
      </c>
      <c r="M999" s="32">
        <f t="shared" si="254"/>
        <v>1963409.49</v>
      </c>
      <c r="N999" s="32">
        <v>0</v>
      </c>
      <c r="O999" s="32">
        <v>0</v>
      </c>
      <c r="P999" s="32">
        <v>0</v>
      </c>
      <c r="Q999" s="32">
        <f>'Таблица 3 '!C988</f>
        <v>1963409.49</v>
      </c>
      <c r="R999" s="32">
        <f t="shared" si="255"/>
        <v>1963409.49</v>
      </c>
      <c r="S999" s="32">
        <v>0</v>
      </c>
      <c r="T999" s="29" t="s">
        <v>39</v>
      </c>
      <c r="U999" s="29" t="s">
        <v>39</v>
      </c>
      <c r="V999" s="73">
        <v>2024</v>
      </c>
      <c r="W999" s="148"/>
    </row>
    <row r="1000" spans="1:23" s="150" customFormat="1" ht="23.25" customHeight="1" x14ac:dyDescent="0.25">
      <c r="A1000" s="322" t="s">
        <v>318</v>
      </c>
      <c r="B1000" s="322"/>
      <c r="C1000" s="18" t="s">
        <v>39</v>
      </c>
      <c r="D1000" s="18" t="s">
        <v>39</v>
      </c>
      <c r="E1000" s="19" t="s">
        <v>39</v>
      </c>
      <c r="F1000" s="18" t="s">
        <v>39</v>
      </c>
      <c r="G1000" s="20" t="s">
        <v>39</v>
      </c>
      <c r="H1000" s="20" t="s">
        <v>39</v>
      </c>
      <c r="I1000" s="60">
        <f t="shared" ref="I1000:S1000" si="256">I1001</f>
        <v>3068.23</v>
      </c>
      <c r="J1000" s="60">
        <f t="shared" si="256"/>
        <v>2875.14</v>
      </c>
      <c r="K1000" s="60">
        <f t="shared" si="256"/>
        <v>2786.11</v>
      </c>
      <c r="L1000" s="61">
        <f t="shared" si="256"/>
        <v>118</v>
      </c>
      <c r="M1000" s="60">
        <f t="shared" si="256"/>
        <v>106040</v>
      </c>
      <c r="N1000" s="60">
        <f t="shared" si="256"/>
        <v>0</v>
      </c>
      <c r="O1000" s="60">
        <f t="shared" si="256"/>
        <v>0</v>
      </c>
      <c r="P1000" s="60">
        <f t="shared" si="256"/>
        <v>0</v>
      </c>
      <c r="Q1000" s="60">
        <f t="shared" si="256"/>
        <v>106040</v>
      </c>
      <c r="R1000" s="60">
        <f t="shared" si="256"/>
        <v>106040</v>
      </c>
      <c r="S1000" s="60">
        <f t="shared" si="256"/>
        <v>0</v>
      </c>
      <c r="T1000" s="60" t="s">
        <v>39</v>
      </c>
      <c r="U1000" s="60" t="s">
        <v>39</v>
      </c>
      <c r="V1000" s="151" t="s">
        <v>39</v>
      </c>
      <c r="W1000" s="57"/>
    </row>
    <row r="1001" spans="1:23" s="150" customFormat="1" ht="44.25" customHeight="1" x14ac:dyDescent="0.25">
      <c r="A1001" s="25">
        <v>1</v>
      </c>
      <c r="B1001" s="38" t="s">
        <v>325</v>
      </c>
      <c r="C1001" s="25" t="s">
        <v>85</v>
      </c>
      <c r="D1001" s="25">
        <v>1970</v>
      </c>
      <c r="E1001" s="27" t="s">
        <v>39</v>
      </c>
      <c r="F1001" s="25" t="s">
        <v>77</v>
      </c>
      <c r="G1001" s="28">
        <v>5</v>
      </c>
      <c r="H1001" s="28">
        <v>3</v>
      </c>
      <c r="I1001" s="29">
        <v>3068.23</v>
      </c>
      <c r="J1001" s="29">
        <v>2875.14</v>
      </c>
      <c r="K1001" s="29">
        <v>2786.11</v>
      </c>
      <c r="L1001" s="30">
        <v>118</v>
      </c>
      <c r="M1001" s="29">
        <f>SUM(N1001:Q1001)</f>
        <v>106040</v>
      </c>
      <c r="N1001" s="29">
        <v>0</v>
      </c>
      <c r="O1001" s="29">
        <v>0</v>
      </c>
      <c r="P1001" s="29">
        <v>0</v>
      </c>
      <c r="Q1001" s="29">
        <f>'Таблица 3 '!C990</f>
        <v>106040</v>
      </c>
      <c r="R1001" s="29">
        <f>Q1001</f>
        <v>106040</v>
      </c>
      <c r="S1001" s="29">
        <v>0</v>
      </c>
      <c r="T1001" s="29" t="s">
        <v>39</v>
      </c>
      <c r="U1001" s="29" t="s">
        <v>39</v>
      </c>
      <c r="V1001" s="33" t="s">
        <v>228</v>
      </c>
      <c r="W1001" s="57"/>
    </row>
    <row r="1002" spans="1:23" s="145" customFormat="1" ht="23.25" customHeight="1" x14ac:dyDescent="0.25">
      <c r="A1002" s="322" t="s">
        <v>327</v>
      </c>
      <c r="B1002" s="322"/>
      <c r="C1002" s="18" t="s">
        <v>39</v>
      </c>
      <c r="D1002" s="18" t="s">
        <v>39</v>
      </c>
      <c r="E1002" s="19" t="s">
        <v>39</v>
      </c>
      <c r="F1002" s="18" t="s">
        <v>39</v>
      </c>
      <c r="G1002" s="20" t="s">
        <v>39</v>
      </c>
      <c r="H1002" s="20" t="s">
        <v>39</v>
      </c>
      <c r="I1002" s="60">
        <f t="shared" ref="I1002:S1002" si="257">I1003</f>
        <v>6946.3</v>
      </c>
      <c r="J1002" s="60">
        <f t="shared" si="257"/>
        <v>5617.98</v>
      </c>
      <c r="K1002" s="60">
        <f t="shared" si="257"/>
        <v>5546.18</v>
      </c>
      <c r="L1002" s="61">
        <f t="shared" si="257"/>
        <v>224</v>
      </c>
      <c r="M1002" s="60">
        <f t="shared" si="257"/>
        <v>5313438.37</v>
      </c>
      <c r="N1002" s="60">
        <f t="shared" si="257"/>
        <v>0</v>
      </c>
      <c r="O1002" s="60">
        <f t="shared" si="257"/>
        <v>0</v>
      </c>
      <c r="P1002" s="60">
        <f t="shared" si="257"/>
        <v>0</v>
      </c>
      <c r="Q1002" s="60">
        <f t="shared" si="257"/>
        <v>5313438.37</v>
      </c>
      <c r="R1002" s="60">
        <f t="shared" si="257"/>
        <v>5313438.37</v>
      </c>
      <c r="S1002" s="60">
        <f t="shared" si="257"/>
        <v>0</v>
      </c>
      <c r="T1002" s="60" t="s">
        <v>39</v>
      </c>
      <c r="U1002" s="60" t="s">
        <v>39</v>
      </c>
      <c r="V1002" s="151" t="s">
        <v>39</v>
      </c>
      <c r="W1002" s="23"/>
    </row>
    <row r="1003" spans="1:23" s="145" customFormat="1" ht="42.75" customHeight="1" x14ac:dyDescent="0.25">
      <c r="A1003" s="25">
        <v>1</v>
      </c>
      <c r="B1003" s="38" t="s">
        <v>330</v>
      </c>
      <c r="C1003" s="25" t="s">
        <v>85</v>
      </c>
      <c r="D1003" s="25">
        <v>1979</v>
      </c>
      <c r="E1003" s="27" t="s">
        <v>39</v>
      </c>
      <c r="F1003" s="25" t="s">
        <v>77</v>
      </c>
      <c r="G1003" s="28">
        <v>5</v>
      </c>
      <c r="H1003" s="28">
        <v>8</v>
      </c>
      <c r="I1003" s="29">
        <v>6946.3</v>
      </c>
      <c r="J1003" s="29">
        <v>5617.98</v>
      </c>
      <c r="K1003" s="29">
        <v>5546.18</v>
      </c>
      <c r="L1003" s="30">
        <v>224</v>
      </c>
      <c r="M1003" s="29">
        <f>SUM(N1003:Q1003)</f>
        <v>5313438.37</v>
      </c>
      <c r="N1003" s="29">
        <v>0</v>
      </c>
      <c r="O1003" s="29">
        <v>0</v>
      </c>
      <c r="P1003" s="29">
        <v>0</v>
      </c>
      <c r="Q1003" s="29">
        <f>'Таблица 3 '!C992</f>
        <v>5313438.37</v>
      </c>
      <c r="R1003" s="29">
        <f>Q1003</f>
        <v>5313438.37</v>
      </c>
      <c r="S1003" s="29">
        <v>0</v>
      </c>
      <c r="T1003" s="29" t="s">
        <v>39</v>
      </c>
      <c r="U1003" s="29" t="s">
        <v>39</v>
      </c>
      <c r="V1003" s="33" t="s">
        <v>819</v>
      </c>
      <c r="W1003" s="23"/>
    </row>
    <row r="1004" spans="1:23" s="145" customFormat="1" ht="24.75" customHeight="1" x14ac:dyDescent="0.25">
      <c r="A1004" s="322" t="s">
        <v>351</v>
      </c>
      <c r="B1004" s="322"/>
      <c r="C1004" s="18" t="s">
        <v>40</v>
      </c>
      <c r="D1004" s="18" t="s">
        <v>40</v>
      </c>
      <c r="E1004" s="19" t="s">
        <v>40</v>
      </c>
      <c r="F1004" s="18" t="s">
        <v>40</v>
      </c>
      <c r="G1004" s="20" t="s">
        <v>40</v>
      </c>
      <c r="H1004" s="20" t="s">
        <v>40</v>
      </c>
      <c r="I1004" s="66">
        <f t="shared" ref="I1004:S1004" si="258">I1005</f>
        <v>4707.5</v>
      </c>
      <c r="J1004" s="66">
        <f t="shared" si="258"/>
        <v>3498.9</v>
      </c>
      <c r="K1004" s="66">
        <f t="shared" si="258"/>
        <v>72.400000000000006</v>
      </c>
      <c r="L1004" s="67">
        <f t="shared" si="258"/>
        <v>120</v>
      </c>
      <c r="M1004" s="66">
        <f t="shared" si="258"/>
        <v>1132951.51</v>
      </c>
      <c r="N1004" s="66">
        <f t="shared" si="258"/>
        <v>0</v>
      </c>
      <c r="O1004" s="66">
        <f t="shared" si="258"/>
        <v>0</v>
      </c>
      <c r="P1004" s="66">
        <f t="shared" si="258"/>
        <v>0</v>
      </c>
      <c r="Q1004" s="66">
        <f t="shared" si="258"/>
        <v>1132951.51</v>
      </c>
      <c r="R1004" s="66">
        <f t="shared" si="258"/>
        <v>1132951.51</v>
      </c>
      <c r="S1004" s="66">
        <f t="shared" si="258"/>
        <v>0</v>
      </c>
      <c r="T1004" s="60" t="s">
        <v>40</v>
      </c>
      <c r="U1004" s="60" t="s">
        <v>40</v>
      </c>
      <c r="V1004" s="72" t="s">
        <v>40</v>
      </c>
      <c r="W1004" s="23"/>
    </row>
    <row r="1005" spans="1:23" s="145" customFormat="1" ht="42.75" customHeight="1" x14ac:dyDescent="0.25">
      <c r="A1005" s="25">
        <v>1</v>
      </c>
      <c r="B1005" s="37" t="s">
        <v>820</v>
      </c>
      <c r="C1005" s="25" t="s">
        <v>85</v>
      </c>
      <c r="D1005" s="25">
        <v>2010</v>
      </c>
      <c r="E1005" s="27" t="s">
        <v>39</v>
      </c>
      <c r="F1005" s="25" t="s">
        <v>77</v>
      </c>
      <c r="G1005" s="28">
        <v>5</v>
      </c>
      <c r="H1005" s="28">
        <v>5</v>
      </c>
      <c r="I1005" s="29">
        <v>4707.5</v>
      </c>
      <c r="J1005" s="29">
        <v>3498.9</v>
      </c>
      <c r="K1005" s="29">
        <v>72.400000000000006</v>
      </c>
      <c r="L1005" s="30">
        <v>120</v>
      </c>
      <c r="M1005" s="31">
        <f>SUM(N1005:Q1005)</f>
        <v>1132951.51</v>
      </c>
      <c r="N1005" s="29">
        <v>0</v>
      </c>
      <c r="O1005" s="29">
        <v>0</v>
      </c>
      <c r="P1005" s="29">
        <v>0</v>
      </c>
      <c r="Q1005" s="29">
        <f>'Таблица 3 '!C994</f>
        <v>1132951.51</v>
      </c>
      <c r="R1005" s="29">
        <f>Q1005</f>
        <v>1132951.51</v>
      </c>
      <c r="S1005" s="29">
        <v>0</v>
      </c>
      <c r="T1005" s="60" t="s">
        <v>40</v>
      </c>
      <c r="U1005" s="60" t="s">
        <v>40</v>
      </c>
      <c r="V1005" s="33" t="s">
        <v>155</v>
      </c>
      <c r="W1005" s="44"/>
    </row>
    <row r="1006" spans="1:23" s="145" customFormat="1" ht="42.75" customHeight="1" x14ac:dyDescent="0.25">
      <c r="A1006" s="322" t="s">
        <v>363</v>
      </c>
      <c r="B1006" s="322"/>
      <c r="C1006" s="18" t="s">
        <v>40</v>
      </c>
      <c r="D1006" s="18" t="s">
        <v>40</v>
      </c>
      <c r="E1006" s="18" t="s">
        <v>40</v>
      </c>
      <c r="F1006" s="18" t="s">
        <v>40</v>
      </c>
      <c r="G1006" s="20" t="s">
        <v>40</v>
      </c>
      <c r="H1006" s="20" t="s">
        <v>40</v>
      </c>
      <c r="I1006" s="115">
        <f>I1007</f>
        <v>3754.11</v>
      </c>
      <c r="J1006" s="115">
        <f>J1007</f>
        <v>2719.75</v>
      </c>
      <c r="K1006" s="115">
        <f>K1007</f>
        <v>2719.75</v>
      </c>
      <c r="L1006" s="116">
        <f>L1007</f>
        <v>98</v>
      </c>
      <c r="M1006" s="115">
        <f t="shared" ref="M1006:S1006" si="259">SUM(M1007:M1008)</f>
        <v>40</v>
      </c>
      <c r="N1006" s="115">
        <f t="shared" si="259"/>
        <v>0</v>
      </c>
      <c r="O1006" s="115">
        <f t="shared" si="259"/>
        <v>0</v>
      </c>
      <c r="P1006" s="115">
        <f t="shared" si="259"/>
        <v>0</v>
      </c>
      <c r="Q1006" s="115">
        <f t="shared" si="259"/>
        <v>40</v>
      </c>
      <c r="R1006" s="115">
        <f t="shared" si="259"/>
        <v>40</v>
      </c>
      <c r="S1006" s="115">
        <f t="shared" si="259"/>
        <v>0</v>
      </c>
      <c r="T1006" s="115" t="s">
        <v>39</v>
      </c>
      <c r="U1006" s="115" t="s">
        <v>40</v>
      </c>
      <c r="V1006" s="115" t="s">
        <v>40</v>
      </c>
    </row>
    <row r="1007" spans="1:23" s="145" customFormat="1" ht="42.75" customHeight="1" x14ac:dyDescent="0.25">
      <c r="A1007" s="25">
        <v>1</v>
      </c>
      <c r="B1007" s="37" t="s">
        <v>821</v>
      </c>
      <c r="C1007" s="25" t="s">
        <v>43</v>
      </c>
      <c r="D1007" s="25">
        <v>1987</v>
      </c>
      <c r="E1007" s="25" t="s">
        <v>39</v>
      </c>
      <c r="F1007" s="25" t="s">
        <v>77</v>
      </c>
      <c r="G1007" s="28">
        <v>5</v>
      </c>
      <c r="H1007" s="28">
        <v>4</v>
      </c>
      <c r="I1007" s="75">
        <v>3754.11</v>
      </c>
      <c r="J1007" s="75">
        <v>2719.75</v>
      </c>
      <c r="K1007" s="75">
        <v>2719.75</v>
      </c>
      <c r="L1007" s="152">
        <v>98</v>
      </c>
      <c r="M1007" s="42">
        <f t="shared" ref="M1007:M1008" si="260">SUM(N1007:Q1007)</f>
        <v>-2308115.6</v>
      </c>
      <c r="N1007" s="42">
        <v>0</v>
      </c>
      <c r="O1007" s="42">
        <v>0</v>
      </c>
      <c r="P1007" s="42">
        <v>0</v>
      </c>
      <c r="Q1007" s="42">
        <f>'Таблица 3 '!C996</f>
        <v>-2308115.6</v>
      </c>
      <c r="R1007" s="42">
        <f t="shared" ref="R1007:R1008" si="261">Q1007</f>
        <v>-2308115.6</v>
      </c>
      <c r="S1007" s="42">
        <v>0</v>
      </c>
      <c r="T1007" s="42" t="s">
        <v>39</v>
      </c>
      <c r="U1007" s="42" t="s">
        <v>39</v>
      </c>
      <c r="V1007" s="153">
        <v>2025</v>
      </c>
    </row>
    <row r="1008" spans="1:23" s="145" customFormat="1" ht="42.75" customHeight="1" x14ac:dyDescent="0.25">
      <c r="A1008" s="25"/>
      <c r="B1008" s="37" t="s">
        <v>821</v>
      </c>
      <c r="C1008" s="25" t="s">
        <v>43</v>
      </c>
      <c r="D1008" s="25">
        <v>1987</v>
      </c>
      <c r="E1008" s="25" t="s">
        <v>39</v>
      </c>
      <c r="F1008" s="25" t="s">
        <v>77</v>
      </c>
      <c r="G1008" s="28">
        <v>5</v>
      </c>
      <c r="H1008" s="28">
        <v>4</v>
      </c>
      <c r="I1008" s="75">
        <v>3754.11</v>
      </c>
      <c r="J1008" s="75">
        <v>2719.75</v>
      </c>
      <c r="K1008" s="75">
        <v>2719.75</v>
      </c>
      <c r="L1008" s="152">
        <v>98</v>
      </c>
      <c r="M1008" s="42">
        <f t="shared" si="260"/>
        <v>2308155.6</v>
      </c>
      <c r="N1008" s="42">
        <v>0</v>
      </c>
      <c r="O1008" s="42">
        <v>0</v>
      </c>
      <c r="P1008" s="42">
        <v>0</v>
      </c>
      <c r="Q1008" s="42">
        <f>'Таблица 3 '!C997</f>
        <v>2308155.6</v>
      </c>
      <c r="R1008" s="42">
        <f t="shared" si="261"/>
        <v>2308155.6</v>
      </c>
      <c r="S1008" s="42">
        <v>0</v>
      </c>
      <c r="T1008" s="42" t="s">
        <v>39</v>
      </c>
      <c r="U1008" s="42" t="s">
        <v>39</v>
      </c>
      <c r="V1008" s="153">
        <v>2025</v>
      </c>
    </row>
    <row r="1009" spans="1:23" s="145" customFormat="1" ht="22.5" customHeight="1" x14ac:dyDescent="0.25">
      <c r="A1009" s="322" t="s">
        <v>382</v>
      </c>
      <c r="B1009" s="322"/>
      <c r="C1009" s="18" t="s">
        <v>40</v>
      </c>
      <c r="D1009" s="18" t="s">
        <v>40</v>
      </c>
      <c r="E1009" s="18" t="s">
        <v>40</v>
      </c>
      <c r="F1009" s="18" t="s">
        <v>40</v>
      </c>
      <c r="G1009" s="20" t="s">
        <v>40</v>
      </c>
      <c r="H1009" s="20" t="s">
        <v>40</v>
      </c>
      <c r="I1009" s="115">
        <f t="shared" ref="I1009:S1009" si="262">SUM(I1010:I1023)</f>
        <v>74550.173999999999</v>
      </c>
      <c r="J1009" s="115">
        <f t="shared" si="262"/>
        <v>47111.18</v>
      </c>
      <c r="K1009" s="115">
        <f t="shared" si="262"/>
        <v>47152.880000000005</v>
      </c>
      <c r="L1009" s="116">
        <f t="shared" si="262"/>
        <v>2656</v>
      </c>
      <c r="M1009" s="115">
        <f t="shared" si="262"/>
        <v>10233715.550000001</v>
      </c>
      <c r="N1009" s="115">
        <f t="shared" si="262"/>
        <v>0</v>
      </c>
      <c r="O1009" s="115">
        <f t="shared" si="262"/>
        <v>0</v>
      </c>
      <c r="P1009" s="115">
        <f t="shared" si="262"/>
        <v>0</v>
      </c>
      <c r="Q1009" s="115">
        <f t="shared" si="262"/>
        <v>10233715.550000001</v>
      </c>
      <c r="R1009" s="115">
        <f t="shared" si="262"/>
        <v>10233715.550000001</v>
      </c>
      <c r="S1009" s="115">
        <f t="shared" si="262"/>
        <v>0</v>
      </c>
      <c r="T1009" s="115" t="s">
        <v>39</v>
      </c>
      <c r="U1009" s="115" t="s">
        <v>40</v>
      </c>
      <c r="V1009" s="115" t="s">
        <v>40</v>
      </c>
    </row>
    <row r="1010" spans="1:23" s="145" customFormat="1" ht="60" x14ac:dyDescent="0.25">
      <c r="A1010" s="25">
        <v>1</v>
      </c>
      <c r="B1010" s="37" t="s">
        <v>822</v>
      </c>
      <c r="C1010" s="25" t="s">
        <v>90</v>
      </c>
      <c r="D1010" s="25">
        <v>1974</v>
      </c>
      <c r="E1010" s="25" t="s">
        <v>40</v>
      </c>
      <c r="F1010" s="25" t="s">
        <v>384</v>
      </c>
      <c r="G1010" s="28">
        <v>5</v>
      </c>
      <c r="H1010" s="28">
        <v>9</v>
      </c>
      <c r="I1010" s="42">
        <v>7388.86</v>
      </c>
      <c r="J1010" s="42">
        <v>4371.8999999999996</v>
      </c>
      <c r="K1010" s="42">
        <f>J1010</f>
        <v>4371.8999999999996</v>
      </c>
      <c r="L1010" s="153">
        <v>261</v>
      </c>
      <c r="M1010" s="42">
        <f t="shared" ref="M1010:M1023" si="263">SUM(N1010:Q1010)</f>
        <v>584936.86</v>
      </c>
      <c r="N1010" s="42">
        <v>0</v>
      </c>
      <c r="O1010" s="42">
        <v>0</v>
      </c>
      <c r="P1010" s="42">
        <v>0</v>
      </c>
      <c r="Q1010" s="42">
        <f>'Таблица 3 '!C999</f>
        <v>584936.86</v>
      </c>
      <c r="R1010" s="42">
        <f t="shared" ref="R1010:R1023" si="264">Q1010</f>
        <v>584936.86</v>
      </c>
      <c r="S1010" s="42">
        <v>0</v>
      </c>
      <c r="T1010" s="42" t="s">
        <v>39</v>
      </c>
      <c r="U1010" s="42" t="s">
        <v>39</v>
      </c>
      <c r="V1010" s="153">
        <v>2024</v>
      </c>
    </row>
    <row r="1011" spans="1:23" s="145" customFormat="1" ht="60" x14ac:dyDescent="0.25">
      <c r="A1011" s="25">
        <v>2</v>
      </c>
      <c r="B1011" s="37" t="s">
        <v>823</v>
      </c>
      <c r="C1011" s="25" t="s">
        <v>90</v>
      </c>
      <c r="D1011" s="25">
        <v>1984</v>
      </c>
      <c r="E1011" s="25" t="s">
        <v>40</v>
      </c>
      <c r="F1011" s="25" t="s">
        <v>384</v>
      </c>
      <c r="G1011" s="28">
        <v>5</v>
      </c>
      <c r="H1011" s="28">
        <v>5</v>
      </c>
      <c r="I1011" s="42">
        <v>5325.01</v>
      </c>
      <c r="J1011" s="42">
        <v>3919</v>
      </c>
      <c r="K1011" s="42">
        <v>3919</v>
      </c>
      <c r="L1011" s="43">
        <v>210</v>
      </c>
      <c r="M1011" s="42">
        <f t="shared" si="263"/>
        <v>0</v>
      </c>
      <c r="N1011" s="42">
        <v>0</v>
      </c>
      <c r="O1011" s="42">
        <v>0</v>
      </c>
      <c r="P1011" s="42">
        <v>0</v>
      </c>
      <c r="Q1011" s="42">
        <f>'Таблица 3 '!C1000</f>
        <v>0</v>
      </c>
      <c r="R1011" s="42">
        <f t="shared" si="264"/>
        <v>0</v>
      </c>
      <c r="S1011" s="42">
        <v>0</v>
      </c>
      <c r="T1011" s="42" t="s">
        <v>39</v>
      </c>
      <c r="U1011" s="42" t="s">
        <v>39</v>
      </c>
      <c r="V1011" s="153">
        <v>2024</v>
      </c>
    </row>
    <row r="1012" spans="1:23" s="145" customFormat="1" ht="60" x14ac:dyDescent="0.25">
      <c r="A1012" s="25">
        <v>3</v>
      </c>
      <c r="B1012" s="37" t="s">
        <v>824</v>
      </c>
      <c r="C1012" s="25" t="s">
        <v>90</v>
      </c>
      <c r="D1012" s="25">
        <v>1972</v>
      </c>
      <c r="E1012" s="25" t="s">
        <v>40</v>
      </c>
      <c r="F1012" s="25" t="s">
        <v>384</v>
      </c>
      <c r="G1012" s="28">
        <v>5</v>
      </c>
      <c r="H1012" s="28">
        <v>4</v>
      </c>
      <c r="I1012" s="42">
        <v>3821.24</v>
      </c>
      <c r="J1012" s="42">
        <v>2189.98</v>
      </c>
      <c r="K1012" s="42">
        <f t="shared" ref="K1012:K1020" si="265">J1012</f>
        <v>2189.98</v>
      </c>
      <c r="L1012" s="153">
        <v>171</v>
      </c>
      <c r="M1012" s="42">
        <f t="shared" si="263"/>
        <v>542338.79</v>
      </c>
      <c r="N1012" s="42">
        <v>0</v>
      </c>
      <c r="O1012" s="42">
        <v>0</v>
      </c>
      <c r="P1012" s="42">
        <v>0</v>
      </c>
      <c r="Q1012" s="42">
        <f>'Таблица 3 '!C1001</f>
        <v>542338.79</v>
      </c>
      <c r="R1012" s="42">
        <f t="shared" si="264"/>
        <v>542338.79</v>
      </c>
      <c r="S1012" s="42">
        <v>0</v>
      </c>
      <c r="T1012" s="42" t="s">
        <v>39</v>
      </c>
      <c r="U1012" s="42" t="s">
        <v>39</v>
      </c>
      <c r="V1012" s="153">
        <v>2024</v>
      </c>
    </row>
    <row r="1013" spans="1:23" s="145" customFormat="1" ht="60" x14ac:dyDescent="0.25">
      <c r="A1013" s="25">
        <v>4</v>
      </c>
      <c r="B1013" s="37" t="s">
        <v>825</v>
      </c>
      <c r="C1013" s="25" t="s">
        <v>90</v>
      </c>
      <c r="D1013" s="25">
        <v>1972</v>
      </c>
      <c r="E1013" s="25" t="s">
        <v>40</v>
      </c>
      <c r="F1013" s="25" t="s">
        <v>384</v>
      </c>
      <c r="G1013" s="28">
        <v>5</v>
      </c>
      <c r="H1013" s="28">
        <v>6</v>
      </c>
      <c r="I1013" s="42">
        <v>9591.6540000000005</v>
      </c>
      <c r="J1013" s="42">
        <v>6140.27</v>
      </c>
      <c r="K1013" s="42">
        <f t="shared" si="265"/>
        <v>6140.27</v>
      </c>
      <c r="L1013" s="43">
        <v>265</v>
      </c>
      <c r="M1013" s="42">
        <f t="shared" si="263"/>
        <v>534857.16</v>
      </c>
      <c r="N1013" s="42">
        <v>0</v>
      </c>
      <c r="O1013" s="42">
        <v>0</v>
      </c>
      <c r="P1013" s="42">
        <v>0</v>
      </c>
      <c r="Q1013" s="42">
        <f>'Таблица 3 '!C1002</f>
        <v>534857.16</v>
      </c>
      <c r="R1013" s="42">
        <f t="shared" si="264"/>
        <v>534857.16</v>
      </c>
      <c r="S1013" s="42">
        <v>0</v>
      </c>
      <c r="T1013" s="42" t="s">
        <v>39</v>
      </c>
      <c r="U1013" s="42" t="s">
        <v>39</v>
      </c>
      <c r="V1013" s="153">
        <v>2024</v>
      </c>
    </row>
    <row r="1014" spans="1:23" s="145" customFormat="1" ht="60" x14ac:dyDescent="0.25">
      <c r="A1014" s="25">
        <v>5</v>
      </c>
      <c r="B1014" s="37" t="s">
        <v>826</v>
      </c>
      <c r="C1014" s="25" t="s">
        <v>90</v>
      </c>
      <c r="D1014" s="25">
        <v>1972</v>
      </c>
      <c r="E1014" s="25" t="s">
        <v>40</v>
      </c>
      <c r="F1014" s="25" t="s">
        <v>384</v>
      </c>
      <c r="G1014" s="28">
        <v>5</v>
      </c>
      <c r="H1014" s="28">
        <v>4</v>
      </c>
      <c r="I1014" s="42">
        <v>5697.01</v>
      </c>
      <c r="J1014" s="42">
        <v>3507.03</v>
      </c>
      <c r="K1014" s="42">
        <f t="shared" si="265"/>
        <v>3507.03</v>
      </c>
      <c r="L1014" s="43">
        <v>157</v>
      </c>
      <c r="M1014" s="42">
        <f t="shared" si="263"/>
        <v>534857.16</v>
      </c>
      <c r="N1014" s="42">
        <v>0</v>
      </c>
      <c r="O1014" s="42">
        <v>0</v>
      </c>
      <c r="P1014" s="42">
        <v>0</v>
      </c>
      <c r="Q1014" s="42">
        <f>'Таблица 3 '!C1003</f>
        <v>534857.16</v>
      </c>
      <c r="R1014" s="42">
        <f t="shared" si="264"/>
        <v>534857.16</v>
      </c>
      <c r="S1014" s="42">
        <v>0</v>
      </c>
      <c r="T1014" s="42" t="s">
        <v>39</v>
      </c>
      <c r="U1014" s="42" t="s">
        <v>39</v>
      </c>
      <c r="V1014" s="153">
        <v>2024</v>
      </c>
    </row>
    <row r="1015" spans="1:23" s="145" customFormat="1" ht="60" x14ac:dyDescent="0.25">
      <c r="A1015" s="25">
        <v>6</v>
      </c>
      <c r="B1015" s="37" t="s">
        <v>827</v>
      </c>
      <c r="C1015" s="25" t="s">
        <v>90</v>
      </c>
      <c r="D1015" s="25">
        <v>197</v>
      </c>
      <c r="E1015" s="25" t="s">
        <v>40</v>
      </c>
      <c r="F1015" s="25" t="s">
        <v>384</v>
      </c>
      <c r="G1015" s="28">
        <v>5</v>
      </c>
      <c r="H1015" s="28">
        <v>4</v>
      </c>
      <c r="I1015" s="42">
        <v>5678.88</v>
      </c>
      <c r="J1015" s="42">
        <v>3512.26</v>
      </c>
      <c r="K1015" s="42">
        <f t="shared" si="265"/>
        <v>3512.26</v>
      </c>
      <c r="L1015" s="43">
        <v>160</v>
      </c>
      <c r="M1015" s="42">
        <f t="shared" si="263"/>
        <v>534857.16</v>
      </c>
      <c r="N1015" s="42">
        <v>0</v>
      </c>
      <c r="O1015" s="42">
        <v>0</v>
      </c>
      <c r="P1015" s="42">
        <v>0</v>
      </c>
      <c r="Q1015" s="42">
        <f>'Таблица 3 '!C1004</f>
        <v>534857.16</v>
      </c>
      <c r="R1015" s="42">
        <f t="shared" si="264"/>
        <v>534857.16</v>
      </c>
      <c r="S1015" s="42">
        <v>0</v>
      </c>
      <c r="T1015" s="42" t="s">
        <v>39</v>
      </c>
      <c r="U1015" s="42" t="s">
        <v>39</v>
      </c>
      <c r="V1015" s="153">
        <v>2024</v>
      </c>
    </row>
    <row r="1016" spans="1:23" s="145" customFormat="1" ht="60" x14ac:dyDescent="0.25">
      <c r="A1016" s="25">
        <v>7</v>
      </c>
      <c r="B1016" s="37" t="s">
        <v>828</v>
      </c>
      <c r="C1016" s="25" t="s">
        <v>90</v>
      </c>
      <c r="D1016" s="25">
        <v>1971</v>
      </c>
      <c r="E1016" s="25" t="s">
        <v>40</v>
      </c>
      <c r="F1016" s="25" t="s">
        <v>384</v>
      </c>
      <c r="G1016" s="28">
        <v>5</v>
      </c>
      <c r="H1016" s="28">
        <v>4</v>
      </c>
      <c r="I1016" s="42">
        <v>3797.68</v>
      </c>
      <c r="J1016" s="42">
        <v>2189.98</v>
      </c>
      <c r="K1016" s="42">
        <f t="shared" si="265"/>
        <v>2189.98</v>
      </c>
      <c r="L1016" s="153">
        <v>165</v>
      </c>
      <c r="M1016" s="42">
        <f t="shared" si="263"/>
        <v>534857.16</v>
      </c>
      <c r="N1016" s="42">
        <v>0</v>
      </c>
      <c r="O1016" s="42">
        <v>0</v>
      </c>
      <c r="P1016" s="42">
        <v>0</v>
      </c>
      <c r="Q1016" s="42">
        <f>'Таблица 3 '!C1005</f>
        <v>534857.16</v>
      </c>
      <c r="R1016" s="42">
        <f t="shared" si="264"/>
        <v>534857.16</v>
      </c>
      <c r="S1016" s="42">
        <v>0</v>
      </c>
      <c r="T1016" s="42" t="s">
        <v>39</v>
      </c>
      <c r="U1016" s="42" t="s">
        <v>39</v>
      </c>
      <c r="V1016" s="153">
        <v>2024</v>
      </c>
    </row>
    <row r="1017" spans="1:23" s="145" customFormat="1" ht="60" x14ac:dyDescent="0.25">
      <c r="A1017" s="25">
        <v>8</v>
      </c>
      <c r="B1017" s="37" t="s">
        <v>829</v>
      </c>
      <c r="C1017" s="25" t="s">
        <v>90</v>
      </c>
      <c r="D1017" s="25">
        <v>1972</v>
      </c>
      <c r="E1017" s="25" t="s">
        <v>40</v>
      </c>
      <c r="F1017" s="25" t="s">
        <v>384</v>
      </c>
      <c r="G1017" s="28">
        <v>5</v>
      </c>
      <c r="H1017" s="28">
        <v>6</v>
      </c>
      <c r="I1017" s="42">
        <v>9609.8799999999992</v>
      </c>
      <c r="J1017" s="42">
        <v>6147.7</v>
      </c>
      <c r="K1017" s="42">
        <f t="shared" si="265"/>
        <v>6147.7</v>
      </c>
      <c r="L1017" s="153">
        <v>267</v>
      </c>
      <c r="M1017" s="42">
        <f t="shared" si="263"/>
        <v>534857.16</v>
      </c>
      <c r="N1017" s="42">
        <v>0</v>
      </c>
      <c r="O1017" s="42">
        <v>0</v>
      </c>
      <c r="P1017" s="42">
        <v>0</v>
      </c>
      <c r="Q1017" s="42">
        <f>'Таблица 3 '!C1006</f>
        <v>534857.16</v>
      </c>
      <c r="R1017" s="42">
        <f t="shared" si="264"/>
        <v>534857.16</v>
      </c>
      <c r="S1017" s="42">
        <v>0</v>
      </c>
      <c r="T1017" s="42" t="s">
        <v>39</v>
      </c>
      <c r="U1017" s="42" t="s">
        <v>39</v>
      </c>
      <c r="V1017" s="153">
        <v>2024</v>
      </c>
    </row>
    <row r="1018" spans="1:23" s="145" customFormat="1" ht="60" x14ac:dyDescent="0.25">
      <c r="A1018" s="25">
        <v>9</v>
      </c>
      <c r="B1018" s="37" t="s">
        <v>830</v>
      </c>
      <c r="C1018" s="25" t="s">
        <v>90</v>
      </c>
      <c r="D1018" s="25">
        <v>1971</v>
      </c>
      <c r="E1018" s="25" t="s">
        <v>40</v>
      </c>
      <c r="F1018" s="25" t="s">
        <v>384</v>
      </c>
      <c r="G1018" s="28">
        <v>5</v>
      </c>
      <c r="H1018" s="28">
        <v>5</v>
      </c>
      <c r="I1018" s="42">
        <v>4596.3999999999996</v>
      </c>
      <c r="J1018" s="42">
        <v>4483.03</v>
      </c>
      <c r="K1018" s="42">
        <v>4483.03</v>
      </c>
      <c r="L1018" s="43">
        <v>205</v>
      </c>
      <c r="M1018" s="42">
        <f t="shared" si="263"/>
        <v>534857.16</v>
      </c>
      <c r="N1018" s="42">
        <v>0</v>
      </c>
      <c r="O1018" s="42">
        <v>0</v>
      </c>
      <c r="P1018" s="42">
        <v>0</v>
      </c>
      <c r="Q1018" s="42">
        <f>'Таблица 3 '!C1007</f>
        <v>534857.16</v>
      </c>
      <c r="R1018" s="42">
        <f t="shared" si="264"/>
        <v>534857.16</v>
      </c>
      <c r="S1018" s="42">
        <v>0</v>
      </c>
      <c r="T1018" s="42" t="s">
        <v>39</v>
      </c>
      <c r="U1018" s="42" t="s">
        <v>39</v>
      </c>
      <c r="V1018" s="153">
        <v>2024</v>
      </c>
    </row>
    <row r="1019" spans="1:23" s="145" customFormat="1" ht="60" x14ac:dyDescent="0.25">
      <c r="A1019" s="25">
        <v>10</v>
      </c>
      <c r="B1019" s="37" t="s">
        <v>831</v>
      </c>
      <c r="C1019" s="25" t="s">
        <v>90</v>
      </c>
      <c r="D1019" s="25">
        <v>1971</v>
      </c>
      <c r="E1019" s="25" t="s">
        <v>40</v>
      </c>
      <c r="F1019" s="25" t="s">
        <v>384</v>
      </c>
      <c r="G1019" s="28">
        <v>5</v>
      </c>
      <c r="H1019" s="28">
        <v>4</v>
      </c>
      <c r="I1019" s="42">
        <v>5476.88</v>
      </c>
      <c r="J1019" s="42">
        <v>3464.66</v>
      </c>
      <c r="K1019" s="42">
        <v>3506.36</v>
      </c>
      <c r="L1019" s="43">
        <v>160</v>
      </c>
      <c r="M1019" s="42">
        <f t="shared" si="263"/>
        <v>534857.16</v>
      </c>
      <c r="N1019" s="42">
        <v>0</v>
      </c>
      <c r="O1019" s="42">
        <v>0</v>
      </c>
      <c r="P1019" s="42">
        <v>0</v>
      </c>
      <c r="Q1019" s="42">
        <f>'Таблица 3 '!C1008</f>
        <v>534857.16</v>
      </c>
      <c r="R1019" s="42">
        <f t="shared" si="264"/>
        <v>534857.16</v>
      </c>
      <c r="S1019" s="42">
        <v>0</v>
      </c>
      <c r="T1019" s="42" t="s">
        <v>39</v>
      </c>
      <c r="U1019" s="42" t="s">
        <v>39</v>
      </c>
      <c r="V1019" s="153">
        <v>2024</v>
      </c>
    </row>
    <row r="1020" spans="1:23" s="145" customFormat="1" ht="60" x14ac:dyDescent="0.25">
      <c r="A1020" s="25">
        <v>11</v>
      </c>
      <c r="B1020" s="37" t="s">
        <v>832</v>
      </c>
      <c r="C1020" s="25" t="s">
        <v>90</v>
      </c>
      <c r="D1020" s="25">
        <v>1971</v>
      </c>
      <c r="E1020" s="25" t="s">
        <v>40</v>
      </c>
      <c r="F1020" s="25" t="s">
        <v>384</v>
      </c>
      <c r="G1020" s="28">
        <v>5</v>
      </c>
      <c r="H1020" s="28">
        <v>4</v>
      </c>
      <c r="I1020" s="42">
        <v>5524.69</v>
      </c>
      <c r="J1020" s="42">
        <v>3512.97</v>
      </c>
      <c r="K1020" s="42">
        <f t="shared" si="265"/>
        <v>3512.97</v>
      </c>
      <c r="L1020" s="43">
        <v>166</v>
      </c>
      <c r="M1020" s="42">
        <f t="shared" si="263"/>
        <v>542338.79</v>
      </c>
      <c r="N1020" s="42">
        <v>0</v>
      </c>
      <c r="O1020" s="42">
        <v>0</v>
      </c>
      <c r="P1020" s="42">
        <v>0</v>
      </c>
      <c r="Q1020" s="42">
        <f>'Таблица 3 '!C1009</f>
        <v>542338.79</v>
      </c>
      <c r="R1020" s="42">
        <f t="shared" si="264"/>
        <v>542338.79</v>
      </c>
      <c r="S1020" s="42">
        <v>0</v>
      </c>
      <c r="T1020" s="42" t="s">
        <v>39</v>
      </c>
      <c r="U1020" s="42" t="s">
        <v>39</v>
      </c>
      <c r="V1020" s="153">
        <v>2024</v>
      </c>
    </row>
    <row r="1021" spans="1:23" s="145" customFormat="1" ht="60" x14ac:dyDescent="0.25">
      <c r="A1021" s="25">
        <v>12</v>
      </c>
      <c r="B1021" s="154" t="s">
        <v>833</v>
      </c>
      <c r="C1021" s="25" t="s">
        <v>90</v>
      </c>
      <c r="D1021" s="25">
        <v>1988</v>
      </c>
      <c r="E1021" s="25" t="s">
        <v>40</v>
      </c>
      <c r="F1021" s="25" t="s">
        <v>320</v>
      </c>
      <c r="G1021" s="28">
        <v>5</v>
      </c>
      <c r="H1021" s="28">
        <v>2</v>
      </c>
      <c r="I1021" s="42">
        <v>1431.65</v>
      </c>
      <c r="J1021" s="42">
        <v>463.9</v>
      </c>
      <c r="K1021" s="42">
        <v>463.9</v>
      </c>
      <c r="L1021" s="153">
        <v>54</v>
      </c>
      <c r="M1021" s="42">
        <f t="shared" si="263"/>
        <v>994215.5</v>
      </c>
      <c r="N1021" s="42">
        <v>0</v>
      </c>
      <c r="O1021" s="42">
        <v>0</v>
      </c>
      <c r="P1021" s="42">
        <v>0</v>
      </c>
      <c r="Q1021" s="42">
        <f>'Таблица 3 '!C1010</f>
        <v>994215.5</v>
      </c>
      <c r="R1021" s="42">
        <f t="shared" si="264"/>
        <v>994215.5</v>
      </c>
      <c r="S1021" s="42">
        <v>0</v>
      </c>
      <c r="T1021" s="42" t="s">
        <v>39</v>
      </c>
      <c r="U1021" s="42" t="s">
        <v>39</v>
      </c>
      <c r="V1021" s="153">
        <v>2024</v>
      </c>
    </row>
    <row r="1022" spans="1:23" s="145" customFormat="1" ht="60" x14ac:dyDescent="0.25">
      <c r="A1022" s="25">
        <v>13</v>
      </c>
      <c r="B1022" s="154" t="s">
        <v>682</v>
      </c>
      <c r="C1022" s="25" t="s">
        <v>90</v>
      </c>
      <c r="D1022" s="25">
        <v>1982</v>
      </c>
      <c r="E1022" s="25" t="s">
        <v>40</v>
      </c>
      <c r="F1022" s="25" t="s">
        <v>44</v>
      </c>
      <c r="G1022" s="28">
        <v>9</v>
      </c>
      <c r="H1022" s="28">
        <v>2</v>
      </c>
      <c r="I1022" s="42">
        <v>3776.57</v>
      </c>
      <c r="J1022" s="42">
        <v>1857</v>
      </c>
      <c r="K1022" s="42">
        <v>1857</v>
      </c>
      <c r="L1022" s="43">
        <v>168</v>
      </c>
      <c r="M1022" s="42">
        <f t="shared" si="263"/>
        <v>1346613.52</v>
      </c>
      <c r="N1022" s="42">
        <v>0</v>
      </c>
      <c r="O1022" s="42">
        <v>0</v>
      </c>
      <c r="P1022" s="42">
        <v>0</v>
      </c>
      <c r="Q1022" s="42">
        <f>'Таблица 3 '!C1011</f>
        <v>1346613.52</v>
      </c>
      <c r="R1022" s="42">
        <f t="shared" si="264"/>
        <v>1346613.52</v>
      </c>
      <c r="S1022" s="42">
        <v>0</v>
      </c>
      <c r="T1022" s="42" t="s">
        <v>39</v>
      </c>
      <c r="U1022" s="42" t="s">
        <v>39</v>
      </c>
      <c r="V1022" s="153">
        <v>2024</v>
      </c>
    </row>
    <row r="1023" spans="1:23" s="145" customFormat="1" ht="60" x14ac:dyDescent="0.25">
      <c r="A1023" s="25">
        <v>14</v>
      </c>
      <c r="B1023" s="37" t="s">
        <v>834</v>
      </c>
      <c r="C1023" s="25" t="s">
        <v>90</v>
      </c>
      <c r="D1023" s="25">
        <v>1969</v>
      </c>
      <c r="E1023" s="25" t="s">
        <v>40</v>
      </c>
      <c r="F1023" s="25" t="s">
        <v>384</v>
      </c>
      <c r="G1023" s="28">
        <v>5</v>
      </c>
      <c r="H1023" s="28">
        <v>2</v>
      </c>
      <c r="I1023" s="42">
        <v>2833.77</v>
      </c>
      <c r="J1023" s="42">
        <v>1351.5</v>
      </c>
      <c r="K1023" s="42">
        <v>1351.5</v>
      </c>
      <c r="L1023" s="153">
        <v>247</v>
      </c>
      <c r="M1023" s="42">
        <f t="shared" si="263"/>
        <v>2479271.9700000002</v>
      </c>
      <c r="N1023" s="42">
        <v>0</v>
      </c>
      <c r="O1023" s="42">
        <v>0</v>
      </c>
      <c r="P1023" s="42">
        <v>0</v>
      </c>
      <c r="Q1023" s="42">
        <f>'Таблица 3 '!C1012</f>
        <v>2479271.9700000002</v>
      </c>
      <c r="R1023" s="42">
        <f t="shared" si="264"/>
        <v>2479271.9700000002</v>
      </c>
      <c r="S1023" s="42">
        <v>0</v>
      </c>
      <c r="T1023" s="42" t="s">
        <v>39</v>
      </c>
      <c r="U1023" s="42" t="s">
        <v>39</v>
      </c>
      <c r="V1023" s="153">
        <v>2024</v>
      </c>
    </row>
    <row r="1024" spans="1:23" s="145" customFormat="1" ht="22.5" customHeight="1" x14ac:dyDescent="0.25">
      <c r="A1024" s="323" t="s">
        <v>412</v>
      </c>
      <c r="B1024" s="323"/>
      <c r="C1024" s="18" t="s">
        <v>39</v>
      </c>
      <c r="D1024" s="18" t="s">
        <v>39</v>
      </c>
      <c r="E1024" s="19" t="s">
        <v>39</v>
      </c>
      <c r="F1024" s="18" t="s">
        <v>39</v>
      </c>
      <c r="G1024" s="20" t="s">
        <v>39</v>
      </c>
      <c r="H1024" s="20" t="s">
        <v>39</v>
      </c>
      <c r="I1024" s="115">
        <f>I1025+I1027</f>
        <v>6094.3</v>
      </c>
      <c r="J1024" s="115">
        <f>J1025+J1027</f>
        <v>4937.9000000000005</v>
      </c>
      <c r="K1024" s="115">
        <f>K1025+K1027</f>
        <v>4672.6000000000004</v>
      </c>
      <c r="L1024" s="116">
        <f>L1025+L1027</f>
        <v>209</v>
      </c>
      <c r="M1024" s="115">
        <f t="shared" ref="M1024:S1024" si="266">SUM(M1025:M1028)</f>
        <v>-2057903.3999999994</v>
      </c>
      <c r="N1024" s="115">
        <f t="shared" si="266"/>
        <v>0</v>
      </c>
      <c r="O1024" s="115">
        <f t="shared" si="266"/>
        <v>0</v>
      </c>
      <c r="P1024" s="115">
        <f t="shared" si="266"/>
        <v>0</v>
      </c>
      <c r="Q1024" s="115">
        <f t="shared" si="266"/>
        <v>-2057903.3999999994</v>
      </c>
      <c r="R1024" s="115">
        <f t="shared" si="266"/>
        <v>-2057903.3999999994</v>
      </c>
      <c r="S1024" s="115">
        <f t="shared" si="266"/>
        <v>0</v>
      </c>
      <c r="T1024" s="115" t="s">
        <v>39</v>
      </c>
      <c r="U1024" s="115" t="s">
        <v>39</v>
      </c>
      <c r="V1024" s="155" t="s">
        <v>39</v>
      </c>
      <c r="W1024" s="23"/>
    </row>
    <row r="1025" spans="1:24" s="145" customFormat="1" ht="45" x14ac:dyDescent="0.25">
      <c r="A1025" s="25">
        <v>1</v>
      </c>
      <c r="B1025" s="82" t="s">
        <v>419</v>
      </c>
      <c r="C1025" s="25" t="s">
        <v>43</v>
      </c>
      <c r="D1025" s="25">
        <v>1960</v>
      </c>
      <c r="E1025" s="25" t="s">
        <v>40</v>
      </c>
      <c r="F1025" s="25" t="s">
        <v>44</v>
      </c>
      <c r="G1025" s="28">
        <v>2</v>
      </c>
      <c r="H1025" s="28">
        <v>2</v>
      </c>
      <c r="I1025" s="75">
        <v>652.29999999999995</v>
      </c>
      <c r="J1025" s="75">
        <v>652.29999999999995</v>
      </c>
      <c r="K1025" s="75">
        <v>587</v>
      </c>
      <c r="L1025" s="152">
        <v>38</v>
      </c>
      <c r="M1025" s="42">
        <f t="shared" ref="M1025:M1028" si="267">SUM(N1025:Q1025)</f>
        <v>-459594</v>
      </c>
      <c r="N1025" s="42">
        <v>0</v>
      </c>
      <c r="O1025" s="42">
        <v>0</v>
      </c>
      <c r="P1025" s="42">
        <v>0</v>
      </c>
      <c r="Q1025" s="42">
        <f>'Таблица 3 '!C1014</f>
        <v>-459594</v>
      </c>
      <c r="R1025" s="42">
        <f t="shared" ref="R1025:R1028" si="268">Q1025</f>
        <v>-459594</v>
      </c>
      <c r="S1025" s="42">
        <v>0</v>
      </c>
      <c r="T1025" s="115" t="s">
        <v>40</v>
      </c>
      <c r="U1025" s="115" t="s">
        <v>40</v>
      </c>
      <c r="V1025" s="156" t="s">
        <v>155</v>
      </c>
      <c r="W1025" s="44"/>
    </row>
    <row r="1026" spans="1:24" s="145" customFormat="1" ht="45" x14ac:dyDescent="0.25">
      <c r="A1026" s="25"/>
      <c r="B1026" s="82" t="s">
        <v>419</v>
      </c>
      <c r="C1026" s="25" t="s">
        <v>43</v>
      </c>
      <c r="D1026" s="25">
        <v>1960</v>
      </c>
      <c r="E1026" s="25" t="s">
        <v>40</v>
      </c>
      <c r="F1026" s="25" t="s">
        <v>44</v>
      </c>
      <c r="G1026" s="28">
        <v>2</v>
      </c>
      <c r="H1026" s="28">
        <v>2</v>
      </c>
      <c r="I1026" s="75">
        <v>652.29999999999995</v>
      </c>
      <c r="J1026" s="75">
        <v>652.29999999999995</v>
      </c>
      <c r="K1026" s="75">
        <v>587</v>
      </c>
      <c r="L1026" s="152">
        <v>38</v>
      </c>
      <c r="M1026" s="42">
        <f t="shared" si="267"/>
        <v>201775.2</v>
      </c>
      <c r="N1026" s="42">
        <v>0</v>
      </c>
      <c r="O1026" s="42">
        <v>0</v>
      </c>
      <c r="P1026" s="42">
        <v>0</v>
      </c>
      <c r="Q1026" s="42">
        <f>'Таблица 3 '!C1015</f>
        <v>201775.2</v>
      </c>
      <c r="R1026" s="42">
        <f t="shared" si="268"/>
        <v>201775.2</v>
      </c>
      <c r="S1026" s="42">
        <v>0</v>
      </c>
      <c r="T1026" s="115" t="s">
        <v>40</v>
      </c>
      <c r="U1026" s="115" t="s">
        <v>40</v>
      </c>
      <c r="V1026" s="156" t="s">
        <v>155</v>
      </c>
      <c r="W1026" s="44"/>
    </row>
    <row r="1027" spans="1:24" s="145" customFormat="1" ht="45" x14ac:dyDescent="0.25">
      <c r="A1027" s="25">
        <v>2</v>
      </c>
      <c r="B1027" s="37" t="s">
        <v>835</v>
      </c>
      <c r="C1027" s="25" t="s">
        <v>43</v>
      </c>
      <c r="D1027" s="25">
        <v>1995</v>
      </c>
      <c r="E1027" s="25" t="s">
        <v>40</v>
      </c>
      <c r="F1027" s="25" t="s">
        <v>44</v>
      </c>
      <c r="G1027" s="28">
        <v>5</v>
      </c>
      <c r="H1027" s="28">
        <v>6</v>
      </c>
      <c r="I1027" s="75">
        <v>5442</v>
      </c>
      <c r="J1027" s="75">
        <v>4285.6000000000004</v>
      </c>
      <c r="K1027" s="75">
        <v>4085.6</v>
      </c>
      <c r="L1027" s="152">
        <v>171</v>
      </c>
      <c r="M1027" s="42">
        <f t="shared" si="267"/>
        <v>-7812895.1999999993</v>
      </c>
      <c r="N1027" s="42">
        <v>0</v>
      </c>
      <c r="O1027" s="42">
        <v>0</v>
      </c>
      <c r="P1027" s="42">
        <v>0</v>
      </c>
      <c r="Q1027" s="42">
        <f>'Таблица 3 '!C1016</f>
        <v>-7812895.1999999993</v>
      </c>
      <c r="R1027" s="42">
        <f t="shared" si="268"/>
        <v>-7812895.1999999993</v>
      </c>
      <c r="S1027" s="42">
        <v>0</v>
      </c>
      <c r="T1027" s="115" t="s">
        <v>40</v>
      </c>
      <c r="U1027" s="115" t="s">
        <v>40</v>
      </c>
      <c r="V1027" s="156" t="s">
        <v>155</v>
      </c>
      <c r="W1027" s="44"/>
    </row>
    <row r="1028" spans="1:24" s="145" customFormat="1" ht="45" x14ac:dyDescent="0.25">
      <c r="A1028" s="25"/>
      <c r="B1028" s="37" t="s">
        <v>835</v>
      </c>
      <c r="C1028" s="25" t="s">
        <v>43</v>
      </c>
      <c r="D1028" s="25">
        <v>1995</v>
      </c>
      <c r="E1028" s="25" t="s">
        <v>40</v>
      </c>
      <c r="F1028" s="25" t="s">
        <v>44</v>
      </c>
      <c r="G1028" s="28">
        <v>5</v>
      </c>
      <c r="H1028" s="28">
        <v>6</v>
      </c>
      <c r="I1028" s="75">
        <v>5442</v>
      </c>
      <c r="J1028" s="75">
        <v>4285.6000000000004</v>
      </c>
      <c r="K1028" s="75">
        <v>4085.6</v>
      </c>
      <c r="L1028" s="152">
        <v>171</v>
      </c>
      <c r="M1028" s="42">
        <f t="shared" si="267"/>
        <v>6012810.5999999996</v>
      </c>
      <c r="N1028" s="42">
        <v>0</v>
      </c>
      <c r="O1028" s="42">
        <v>0</v>
      </c>
      <c r="P1028" s="42">
        <v>0</v>
      </c>
      <c r="Q1028" s="42">
        <f>'Таблица 3 '!C1017</f>
        <v>6012810.5999999996</v>
      </c>
      <c r="R1028" s="42">
        <f t="shared" si="268"/>
        <v>6012810.5999999996</v>
      </c>
      <c r="S1028" s="42">
        <v>0</v>
      </c>
      <c r="T1028" s="115" t="s">
        <v>40</v>
      </c>
      <c r="U1028" s="115" t="s">
        <v>40</v>
      </c>
      <c r="V1028" s="156" t="s">
        <v>155</v>
      </c>
      <c r="W1028" s="44"/>
    </row>
    <row r="1029" spans="1:24" s="145" customFormat="1" ht="22.5" customHeight="1" x14ac:dyDescent="0.25">
      <c r="A1029" s="322" t="s">
        <v>436</v>
      </c>
      <c r="B1029" s="322"/>
      <c r="C1029" s="18" t="s">
        <v>39</v>
      </c>
      <c r="D1029" s="18" t="s">
        <v>39</v>
      </c>
      <c r="E1029" s="19" t="s">
        <v>39</v>
      </c>
      <c r="F1029" s="18" t="s">
        <v>39</v>
      </c>
      <c r="G1029" s="20" t="s">
        <v>39</v>
      </c>
      <c r="H1029" s="20" t="s">
        <v>39</v>
      </c>
      <c r="I1029" s="115">
        <f>I1030</f>
        <v>923</v>
      </c>
      <c r="J1029" s="115">
        <f>J1030</f>
        <v>906.9</v>
      </c>
      <c r="K1029" s="115">
        <f>K1030</f>
        <v>906.9</v>
      </c>
      <c r="L1029" s="116">
        <f>L1030</f>
        <v>51</v>
      </c>
      <c r="M1029" s="115">
        <f t="shared" ref="M1029:S1029" si="269">SUM(M1030:M1031)</f>
        <v>-0.5</v>
      </c>
      <c r="N1029" s="115">
        <f t="shared" si="269"/>
        <v>0</v>
      </c>
      <c r="O1029" s="115">
        <f t="shared" si="269"/>
        <v>0</v>
      </c>
      <c r="P1029" s="115">
        <f t="shared" si="269"/>
        <v>0</v>
      </c>
      <c r="Q1029" s="115">
        <f t="shared" si="269"/>
        <v>-0.5</v>
      </c>
      <c r="R1029" s="115">
        <f t="shared" si="269"/>
        <v>-0.5</v>
      </c>
      <c r="S1029" s="115">
        <f t="shared" si="269"/>
        <v>0</v>
      </c>
      <c r="T1029" s="115" t="s">
        <v>39</v>
      </c>
      <c r="U1029" s="115" t="s">
        <v>39</v>
      </c>
      <c r="V1029" s="155" t="s">
        <v>39</v>
      </c>
      <c r="W1029" s="44"/>
    </row>
    <row r="1030" spans="1:24" s="145" customFormat="1" ht="45" x14ac:dyDescent="0.25">
      <c r="A1030" s="25">
        <v>1</v>
      </c>
      <c r="B1030" s="37" t="s">
        <v>693</v>
      </c>
      <c r="C1030" s="25" t="s">
        <v>43</v>
      </c>
      <c r="D1030" s="25" t="s">
        <v>145</v>
      </c>
      <c r="E1030" s="25" t="s">
        <v>40</v>
      </c>
      <c r="F1030" s="25" t="s">
        <v>77</v>
      </c>
      <c r="G1030" s="28">
        <v>2</v>
      </c>
      <c r="H1030" s="28">
        <v>3</v>
      </c>
      <c r="I1030" s="75">
        <v>923</v>
      </c>
      <c r="J1030" s="75">
        <v>906.9</v>
      </c>
      <c r="K1030" s="75">
        <v>906.9</v>
      </c>
      <c r="L1030" s="152">
        <v>51</v>
      </c>
      <c r="M1030" s="42">
        <f t="shared" ref="M1030:M1031" si="270">SUM(N1030:Q1030)</f>
        <v>-5867384.9000000004</v>
      </c>
      <c r="N1030" s="42">
        <v>0</v>
      </c>
      <c r="O1030" s="42">
        <v>0</v>
      </c>
      <c r="P1030" s="42">
        <v>0</v>
      </c>
      <c r="Q1030" s="42">
        <f>'Таблица 3 '!C1019</f>
        <v>-5867384.9000000004</v>
      </c>
      <c r="R1030" s="42">
        <f t="shared" ref="R1030:R1031" si="271">Q1030</f>
        <v>-5867384.9000000004</v>
      </c>
      <c r="S1030" s="42">
        <v>0</v>
      </c>
      <c r="T1030" s="115" t="s">
        <v>40</v>
      </c>
      <c r="U1030" s="115" t="s">
        <v>40</v>
      </c>
      <c r="V1030" s="156" t="s">
        <v>57</v>
      </c>
      <c r="W1030" s="44"/>
    </row>
    <row r="1031" spans="1:24" s="145" customFormat="1" ht="45" x14ac:dyDescent="0.25">
      <c r="A1031" s="25"/>
      <c r="B1031" s="37" t="s">
        <v>693</v>
      </c>
      <c r="C1031" s="25" t="s">
        <v>43</v>
      </c>
      <c r="D1031" s="25" t="s">
        <v>145</v>
      </c>
      <c r="E1031" s="25" t="s">
        <v>40</v>
      </c>
      <c r="F1031" s="25" t="s">
        <v>77</v>
      </c>
      <c r="G1031" s="28">
        <v>2</v>
      </c>
      <c r="H1031" s="28">
        <v>3</v>
      </c>
      <c r="I1031" s="75">
        <v>923</v>
      </c>
      <c r="J1031" s="75">
        <v>906.9</v>
      </c>
      <c r="K1031" s="75">
        <v>906.9</v>
      </c>
      <c r="L1031" s="152">
        <v>51</v>
      </c>
      <c r="M1031" s="42">
        <f t="shared" si="270"/>
        <v>5867384.4000000004</v>
      </c>
      <c r="N1031" s="42">
        <v>0</v>
      </c>
      <c r="O1031" s="42">
        <v>0</v>
      </c>
      <c r="P1031" s="42">
        <v>0</v>
      </c>
      <c r="Q1031" s="42">
        <f>'Таблица 3 '!C1020</f>
        <v>5867384.4000000004</v>
      </c>
      <c r="R1031" s="42">
        <f t="shared" si="271"/>
        <v>5867384.4000000004</v>
      </c>
      <c r="S1031" s="42">
        <v>0</v>
      </c>
      <c r="T1031" s="115" t="s">
        <v>40</v>
      </c>
      <c r="U1031" s="115" t="s">
        <v>40</v>
      </c>
      <c r="V1031" s="156" t="s">
        <v>57</v>
      </c>
      <c r="W1031" s="44"/>
    </row>
    <row r="1032" spans="1:24" s="145" customFormat="1" ht="23.25" customHeight="1" x14ac:dyDescent="0.25">
      <c r="A1032" s="323" t="s">
        <v>836</v>
      </c>
      <c r="B1032" s="323"/>
      <c r="C1032" s="18" t="s">
        <v>39</v>
      </c>
      <c r="D1032" s="20" t="s">
        <v>39</v>
      </c>
      <c r="E1032" s="62" t="s">
        <v>39</v>
      </c>
      <c r="F1032" s="18" t="s">
        <v>39</v>
      </c>
      <c r="G1032" s="20" t="s">
        <v>39</v>
      </c>
      <c r="H1032" s="20" t="s">
        <v>39</v>
      </c>
      <c r="I1032" s="60">
        <f t="shared" ref="I1032:S1032" si="272">I1033</f>
        <v>10265.779999999999</v>
      </c>
      <c r="J1032" s="60">
        <f t="shared" si="272"/>
        <v>9601.6200000000008</v>
      </c>
      <c r="K1032" s="60">
        <f t="shared" si="272"/>
        <v>9291.75</v>
      </c>
      <c r="L1032" s="61">
        <f t="shared" si="272"/>
        <v>378</v>
      </c>
      <c r="M1032" s="60">
        <f t="shared" si="272"/>
        <v>2202112.44</v>
      </c>
      <c r="N1032" s="60">
        <f t="shared" si="272"/>
        <v>0</v>
      </c>
      <c r="O1032" s="60">
        <f t="shared" si="272"/>
        <v>0</v>
      </c>
      <c r="P1032" s="60">
        <f t="shared" si="272"/>
        <v>0</v>
      </c>
      <c r="Q1032" s="60">
        <f t="shared" si="272"/>
        <v>2202112.44</v>
      </c>
      <c r="R1032" s="60">
        <f t="shared" si="272"/>
        <v>2202112.44</v>
      </c>
      <c r="S1032" s="60">
        <f t="shared" si="272"/>
        <v>0</v>
      </c>
      <c r="T1032" s="60" t="s">
        <v>39</v>
      </c>
      <c r="U1032" s="60" t="s">
        <v>39</v>
      </c>
      <c r="V1032" s="72" t="s">
        <v>39</v>
      </c>
      <c r="W1032" s="23"/>
    </row>
    <row r="1033" spans="1:24" s="145" customFormat="1" ht="23.25" customHeight="1" x14ac:dyDescent="0.25">
      <c r="A1033" s="324" t="s">
        <v>837</v>
      </c>
      <c r="B1033" s="325"/>
      <c r="C1033" s="157" t="s">
        <v>39</v>
      </c>
      <c r="D1033" s="20" t="s">
        <v>39</v>
      </c>
      <c r="E1033" s="158" t="s">
        <v>39</v>
      </c>
      <c r="F1033" s="18" t="s">
        <v>39</v>
      </c>
      <c r="G1033" s="159" t="s">
        <v>39</v>
      </c>
      <c r="H1033" s="20" t="s">
        <v>39</v>
      </c>
      <c r="I1033" s="60">
        <f t="shared" ref="I1033:S1033" si="273">SUM(I1034:I1036)</f>
        <v>10265.779999999999</v>
      </c>
      <c r="J1033" s="60">
        <f t="shared" si="273"/>
        <v>9601.6200000000008</v>
      </c>
      <c r="K1033" s="60">
        <f t="shared" si="273"/>
        <v>9291.75</v>
      </c>
      <c r="L1033" s="61">
        <f t="shared" si="273"/>
        <v>378</v>
      </c>
      <c r="M1033" s="60">
        <f t="shared" si="273"/>
        <v>2202112.44</v>
      </c>
      <c r="N1033" s="60">
        <f t="shared" si="273"/>
        <v>0</v>
      </c>
      <c r="O1033" s="60">
        <f t="shared" si="273"/>
        <v>0</v>
      </c>
      <c r="P1033" s="60">
        <f t="shared" si="273"/>
        <v>0</v>
      </c>
      <c r="Q1033" s="60">
        <f t="shared" si="273"/>
        <v>2202112.44</v>
      </c>
      <c r="R1033" s="60">
        <f t="shared" si="273"/>
        <v>2202112.44</v>
      </c>
      <c r="S1033" s="60">
        <f t="shared" si="273"/>
        <v>0</v>
      </c>
      <c r="T1033" s="60" t="s">
        <v>39</v>
      </c>
      <c r="U1033" s="160" t="s">
        <v>39</v>
      </c>
      <c r="V1033" s="72" t="s">
        <v>39</v>
      </c>
      <c r="W1033" s="23"/>
    </row>
    <row r="1034" spans="1:24" s="145" customFormat="1" ht="60" x14ac:dyDescent="0.25">
      <c r="A1034" s="25">
        <v>1</v>
      </c>
      <c r="B1034" s="37" t="s">
        <v>838</v>
      </c>
      <c r="C1034" s="25" t="s">
        <v>85</v>
      </c>
      <c r="D1034" s="25">
        <v>1953</v>
      </c>
      <c r="E1034" s="25">
        <v>2010</v>
      </c>
      <c r="F1034" s="25" t="s">
        <v>456</v>
      </c>
      <c r="G1034" s="28">
        <v>2</v>
      </c>
      <c r="H1034" s="28">
        <v>2</v>
      </c>
      <c r="I1034" s="32">
        <v>957.3</v>
      </c>
      <c r="J1034" s="32">
        <v>778.9</v>
      </c>
      <c r="K1034" s="32">
        <v>778.9</v>
      </c>
      <c r="L1034" s="35">
        <v>26</v>
      </c>
      <c r="M1034" s="29">
        <f t="shared" ref="M1034:M1036" si="274">SUM(N1034:Q1034)</f>
        <v>-342169.2</v>
      </c>
      <c r="N1034" s="29">
        <v>0</v>
      </c>
      <c r="O1034" s="29">
        <v>0</v>
      </c>
      <c r="P1034" s="29">
        <v>0</v>
      </c>
      <c r="Q1034" s="29">
        <f>'Таблица 3 '!C1023</f>
        <v>-342169.2</v>
      </c>
      <c r="R1034" s="29">
        <f t="shared" ref="R1034:R1036" si="275">Q1034</f>
        <v>-342169.2</v>
      </c>
      <c r="S1034" s="29">
        <v>0</v>
      </c>
      <c r="T1034" s="60" t="s">
        <v>40</v>
      </c>
      <c r="U1034" s="60" t="s">
        <v>40</v>
      </c>
      <c r="V1034" s="33" t="s">
        <v>50</v>
      </c>
      <c r="W1034" s="44"/>
    </row>
    <row r="1035" spans="1:24" s="145" customFormat="1" ht="60" x14ac:dyDescent="0.25">
      <c r="A1035" s="25">
        <v>2</v>
      </c>
      <c r="B1035" s="37" t="s">
        <v>839</v>
      </c>
      <c r="C1035" s="25" t="s">
        <v>85</v>
      </c>
      <c r="D1035" s="25">
        <v>1980</v>
      </c>
      <c r="E1035" s="25" t="s">
        <v>39</v>
      </c>
      <c r="F1035" s="25" t="s">
        <v>44</v>
      </c>
      <c r="G1035" s="28">
        <v>5</v>
      </c>
      <c r="H1035" s="28">
        <v>4</v>
      </c>
      <c r="I1035" s="32">
        <v>3021.4</v>
      </c>
      <c r="J1035" s="32">
        <v>2767.09</v>
      </c>
      <c r="K1035" s="32">
        <v>2654.6</v>
      </c>
      <c r="L1035" s="35">
        <v>102</v>
      </c>
      <c r="M1035" s="29">
        <f t="shared" si="274"/>
        <v>418399.48</v>
      </c>
      <c r="N1035" s="29">
        <v>0</v>
      </c>
      <c r="O1035" s="29">
        <v>0</v>
      </c>
      <c r="P1035" s="29">
        <v>0</v>
      </c>
      <c r="Q1035" s="29">
        <f>'Таблица 3 '!C1024</f>
        <v>418399.48</v>
      </c>
      <c r="R1035" s="29">
        <f t="shared" si="275"/>
        <v>418399.48</v>
      </c>
      <c r="S1035" s="29">
        <v>0</v>
      </c>
      <c r="T1035" s="60" t="s">
        <v>40</v>
      </c>
      <c r="U1035" s="60" t="s">
        <v>40</v>
      </c>
      <c r="V1035" s="33" t="s">
        <v>155</v>
      </c>
      <c r="W1035" s="44"/>
    </row>
    <row r="1036" spans="1:24" s="145" customFormat="1" ht="60" x14ac:dyDescent="0.25">
      <c r="A1036" s="25">
        <v>3</v>
      </c>
      <c r="B1036" s="37" t="s">
        <v>840</v>
      </c>
      <c r="C1036" s="25" t="s">
        <v>85</v>
      </c>
      <c r="D1036" s="25">
        <v>1975</v>
      </c>
      <c r="E1036" s="25" t="s">
        <v>39</v>
      </c>
      <c r="F1036" s="25" t="s">
        <v>44</v>
      </c>
      <c r="G1036" s="28">
        <v>5</v>
      </c>
      <c r="H1036" s="28">
        <v>8</v>
      </c>
      <c r="I1036" s="32">
        <v>6287.08</v>
      </c>
      <c r="J1036" s="32">
        <v>6055.63</v>
      </c>
      <c r="K1036" s="32">
        <v>5858.25</v>
      </c>
      <c r="L1036" s="35">
        <v>250</v>
      </c>
      <c r="M1036" s="29">
        <f t="shared" si="274"/>
        <v>2125882.16</v>
      </c>
      <c r="N1036" s="29">
        <v>0</v>
      </c>
      <c r="O1036" s="29">
        <v>0</v>
      </c>
      <c r="P1036" s="29">
        <v>0</v>
      </c>
      <c r="Q1036" s="29">
        <f>'Таблица 3 '!C1025</f>
        <v>2125882.16</v>
      </c>
      <c r="R1036" s="29">
        <f t="shared" si="275"/>
        <v>2125882.16</v>
      </c>
      <c r="S1036" s="29">
        <v>0</v>
      </c>
      <c r="T1036" s="60" t="s">
        <v>40</v>
      </c>
      <c r="U1036" s="60" t="s">
        <v>40</v>
      </c>
      <c r="V1036" s="33" t="s">
        <v>155</v>
      </c>
      <c r="W1036" s="44"/>
    </row>
    <row r="1037" spans="1:24" s="145" customFormat="1" ht="22.5" customHeight="1" x14ac:dyDescent="0.25">
      <c r="A1037" s="322" t="s">
        <v>482</v>
      </c>
      <c r="B1037" s="322"/>
      <c r="C1037" s="18" t="s">
        <v>39</v>
      </c>
      <c r="D1037" s="18" t="s">
        <v>39</v>
      </c>
      <c r="E1037" s="18" t="s">
        <v>39</v>
      </c>
      <c r="F1037" s="18" t="s">
        <v>39</v>
      </c>
      <c r="G1037" s="20" t="s">
        <v>39</v>
      </c>
      <c r="H1037" s="20" t="s">
        <v>39</v>
      </c>
      <c r="I1037" s="21">
        <f>I1038</f>
        <v>631.5</v>
      </c>
      <c r="J1037" s="21">
        <f>J1038</f>
        <v>599.20000000000005</v>
      </c>
      <c r="K1037" s="21">
        <f>K1038</f>
        <v>599.20000000000005</v>
      </c>
      <c r="L1037" s="22">
        <f>L1038</f>
        <v>23</v>
      </c>
      <c r="M1037" s="21">
        <f t="shared" ref="M1037:S1037" si="276">SUM(M1038:M1039)</f>
        <v>-157403.87999999989</v>
      </c>
      <c r="N1037" s="21">
        <f t="shared" si="276"/>
        <v>0</v>
      </c>
      <c r="O1037" s="21">
        <f t="shared" si="276"/>
        <v>0</v>
      </c>
      <c r="P1037" s="21">
        <f t="shared" si="276"/>
        <v>0</v>
      </c>
      <c r="Q1037" s="21">
        <f t="shared" si="276"/>
        <v>-157403.87999999989</v>
      </c>
      <c r="R1037" s="21">
        <f t="shared" si="276"/>
        <v>-157403.87999999989</v>
      </c>
      <c r="S1037" s="21">
        <f t="shared" si="276"/>
        <v>0</v>
      </c>
      <c r="T1037" s="60" t="s">
        <v>40</v>
      </c>
      <c r="U1037" s="60" t="s">
        <v>40</v>
      </c>
      <c r="V1037" s="72" t="s">
        <v>40</v>
      </c>
      <c r="W1037" s="148"/>
      <c r="X1037" s="161"/>
    </row>
    <row r="1038" spans="1:24" s="145" customFormat="1" ht="45" x14ac:dyDescent="0.25">
      <c r="A1038" s="25">
        <v>1</v>
      </c>
      <c r="B1038" s="37" t="s">
        <v>841</v>
      </c>
      <c r="C1038" s="25" t="s">
        <v>43</v>
      </c>
      <c r="D1038" s="25" t="s">
        <v>106</v>
      </c>
      <c r="E1038" s="25" t="s">
        <v>40</v>
      </c>
      <c r="F1038" s="25" t="s">
        <v>77</v>
      </c>
      <c r="G1038" s="28">
        <v>2</v>
      </c>
      <c r="H1038" s="28">
        <v>3</v>
      </c>
      <c r="I1038" s="32">
        <v>631.5</v>
      </c>
      <c r="J1038" s="32">
        <v>599.20000000000005</v>
      </c>
      <c r="K1038" s="32">
        <v>599.20000000000005</v>
      </c>
      <c r="L1038" s="35">
        <v>23</v>
      </c>
      <c r="M1038" s="32">
        <f t="shared" ref="M1038:M1039" si="277">SUM(N1038:Q1038)</f>
        <v>-4463037.41</v>
      </c>
      <c r="N1038" s="32">
        <v>0</v>
      </c>
      <c r="O1038" s="32">
        <v>0</v>
      </c>
      <c r="P1038" s="32">
        <v>0</v>
      </c>
      <c r="Q1038" s="32">
        <f>'Таблица 3 '!C1027</f>
        <v>-4463037.41</v>
      </c>
      <c r="R1038" s="32">
        <f t="shared" ref="R1038:R1039" si="278">Q1038</f>
        <v>-4463037.41</v>
      </c>
      <c r="S1038" s="32">
        <v>0</v>
      </c>
      <c r="T1038" s="115" t="s">
        <v>40</v>
      </c>
      <c r="U1038" s="115" t="s">
        <v>40</v>
      </c>
      <c r="V1038" s="73">
        <v>2025</v>
      </c>
      <c r="W1038" s="148"/>
    </row>
    <row r="1039" spans="1:24" s="145" customFormat="1" ht="45" x14ac:dyDescent="0.25">
      <c r="A1039" s="25"/>
      <c r="B1039" s="37" t="s">
        <v>841</v>
      </c>
      <c r="C1039" s="25" t="s">
        <v>43</v>
      </c>
      <c r="D1039" s="25" t="s">
        <v>106</v>
      </c>
      <c r="E1039" s="25" t="s">
        <v>40</v>
      </c>
      <c r="F1039" s="25" t="s">
        <v>77</v>
      </c>
      <c r="G1039" s="28">
        <v>2</v>
      </c>
      <c r="H1039" s="28">
        <v>3</v>
      </c>
      <c r="I1039" s="32">
        <v>631.5</v>
      </c>
      <c r="J1039" s="32">
        <v>599.20000000000005</v>
      </c>
      <c r="K1039" s="32">
        <v>599.20000000000005</v>
      </c>
      <c r="L1039" s="35">
        <v>23</v>
      </c>
      <c r="M1039" s="32">
        <f t="shared" si="277"/>
        <v>4305633.53</v>
      </c>
      <c r="N1039" s="32">
        <v>0</v>
      </c>
      <c r="O1039" s="32">
        <v>0</v>
      </c>
      <c r="P1039" s="32">
        <v>0</v>
      </c>
      <c r="Q1039" s="32">
        <f>'Таблица 3 '!C1028</f>
        <v>4305633.53</v>
      </c>
      <c r="R1039" s="32">
        <f t="shared" si="278"/>
        <v>4305633.53</v>
      </c>
      <c r="S1039" s="32">
        <v>0</v>
      </c>
      <c r="T1039" s="115" t="s">
        <v>40</v>
      </c>
      <c r="U1039" s="115" t="s">
        <v>40</v>
      </c>
      <c r="V1039" s="73">
        <v>2025</v>
      </c>
      <c r="W1039" s="148"/>
    </row>
    <row r="1040" spans="1:24" s="145" customFormat="1" ht="27" customHeight="1" x14ac:dyDescent="0.25">
      <c r="A1040" s="323" t="s">
        <v>503</v>
      </c>
      <c r="B1040" s="323"/>
      <c r="C1040" s="18" t="s">
        <v>39</v>
      </c>
      <c r="D1040" s="20" t="s">
        <v>39</v>
      </c>
      <c r="E1040" s="62" t="s">
        <v>39</v>
      </c>
      <c r="F1040" s="18" t="s">
        <v>39</v>
      </c>
      <c r="G1040" s="20" t="s">
        <v>39</v>
      </c>
      <c r="H1040" s="20" t="s">
        <v>39</v>
      </c>
      <c r="I1040" s="60">
        <f t="shared" ref="I1040:P1040" si="279">SUM(I1041:I1043)</f>
        <v>5075.6000000000004</v>
      </c>
      <c r="J1040" s="60">
        <f t="shared" si="279"/>
        <v>3691.7</v>
      </c>
      <c r="K1040" s="60">
        <f t="shared" si="279"/>
        <v>3587</v>
      </c>
      <c r="L1040" s="61">
        <f t="shared" si="279"/>
        <v>160</v>
      </c>
      <c r="M1040" s="60">
        <f t="shared" si="279"/>
        <v>840000</v>
      </c>
      <c r="N1040" s="60">
        <f t="shared" si="279"/>
        <v>0</v>
      </c>
      <c r="O1040" s="60">
        <f t="shared" si="279"/>
        <v>0</v>
      </c>
      <c r="P1040" s="60">
        <f t="shared" si="279"/>
        <v>0</v>
      </c>
      <c r="Q1040" s="60">
        <f>SUM(Q1041:Q1041)</f>
        <v>840000</v>
      </c>
      <c r="R1040" s="60">
        <f>SUM(R1041:R1043)</f>
        <v>840000</v>
      </c>
      <c r="S1040" s="60">
        <f>SUM(S1041:S1043)</f>
        <v>0</v>
      </c>
      <c r="T1040" s="60" t="s">
        <v>39</v>
      </c>
      <c r="U1040" s="60" t="s">
        <v>39</v>
      </c>
      <c r="V1040" s="72" t="s">
        <v>39</v>
      </c>
      <c r="W1040" s="23"/>
    </row>
    <row r="1041" spans="1:23" s="145" customFormat="1" ht="60" x14ac:dyDescent="0.25">
      <c r="A1041" s="25">
        <v>1</v>
      </c>
      <c r="B1041" s="38" t="s">
        <v>842</v>
      </c>
      <c r="C1041" s="25" t="s">
        <v>85</v>
      </c>
      <c r="D1041" s="25">
        <v>1980</v>
      </c>
      <c r="E1041" s="25" t="s">
        <v>39</v>
      </c>
      <c r="F1041" s="25" t="s">
        <v>384</v>
      </c>
      <c r="G1041" s="28">
        <v>5</v>
      </c>
      <c r="H1041" s="28">
        <v>5</v>
      </c>
      <c r="I1041" s="32">
        <v>5075.6000000000004</v>
      </c>
      <c r="J1041" s="32">
        <v>3691.7</v>
      </c>
      <c r="K1041" s="32">
        <v>3587</v>
      </c>
      <c r="L1041" s="35">
        <v>160</v>
      </c>
      <c r="M1041" s="29">
        <f>SUM(N1041:Q1041)</f>
        <v>840000</v>
      </c>
      <c r="N1041" s="29">
        <v>0</v>
      </c>
      <c r="O1041" s="29">
        <v>0</v>
      </c>
      <c r="P1041" s="29">
        <v>0</v>
      </c>
      <c r="Q1041" s="29">
        <f>'Таблица 3 '!C1030</f>
        <v>840000</v>
      </c>
      <c r="R1041" s="29">
        <f>Q1041</f>
        <v>840000</v>
      </c>
      <c r="S1041" s="29">
        <v>0</v>
      </c>
      <c r="T1041" s="60" t="s">
        <v>40</v>
      </c>
      <c r="U1041" s="60" t="s">
        <v>40</v>
      </c>
      <c r="V1041" s="33" t="s">
        <v>155</v>
      </c>
      <c r="W1041" s="44"/>
    </row>
    <row r="1042" spans="1:23" s="145" customFormat="1" x14ac:dyDescent="0.25"/>
    <row r="1043" spans="1:23" s="145" customFormat="1" x14ac:dyDescent="0.25"/>
    <row r="1044" spans="1:23" s="145" customFormat="1" x14ac:dyDescent="0.25"/>
    <row r="1045" spans="1:23" s="145" customFormat="1" x14ac:dyDescent="0.25"/>
    <row r="1046" spans="1:23" s="145" customFormat="1" x14ac:dyDescent="0.25"/>
    <row r="1047" spans="1:23" s="145" customFormat="1" x14ac:dyDescent="0.25"/>
    <row r="1048" spans="1:23" s="145" customFormat="1" x14ac:dyDescent="0.25"/>
    <row r="1049" spans="1:23" s="145" customFormat="1" x14ac:dyDescent="0.25"/>
    <row r="1050" spans="1:23" s="145" customFormat="1" x14ac:dyDescent="0.25"/>
    <row r="1051" spans="1:23" s="145" customFormat="1" x14ac:dyDescent="0.25"/>
    <row r="1052" spans="1:23" s="145" customFormat="1" x14ac:dyDescent="0.25"/>
    <row r="1053" spans="1:23" s="145" customFormat="1" x14ac:dyDescent="0.25"/>
    <row r="1054" spans="1:23" s="145" customFormat="1" x14ac:dyDescent="0.25"/>
    <row r="1055" spans="1:23" s="145" customFormat="1" x14ac:dyDescent="0.25"/>
    <row r="1056" spans="1:23" s="145" customFormat="1" x14ac:dyDescent="0.25"/>
    <row r="1057" s="145" customFormat="1" x14ac:dyDescent="0.25"/>
    <row r="1058" s="145" customFormat="1" x14ac:dyDescent="0.25"/>
    <row r="1059" s="145" customFormat="1" x14ac:dyDescent="0.25"/>
    <row r="1060" s="145" customFormat="1" x14ac:dyDescent="0.25"/>
    <row r="1061" s="145" customFormat="1" x14ac:dyDescent="0.25"/>
    <row r="1062" s="145" customFormat="1" x14ac:dyDescent="0.25"/>
    <row r="1063" s="145" customFormat="1" x14ac:dyDescent="0.25"/>
    <row r="1064" s="145" customFormat="1" x14ac:dyDescent="0.25"/>
    <row r="1065" s="145" customFormat="1" x14ac:dyDescent="0.25"/>
    <row r="1066" s="145" customFormat="1" x14ac:dyDescent="0.25"/>
    <row r="1067" s="145" customFormat="1" x14ac:dyDescent="0.25"/>
    <row r="1068" s="145" customFormat="1" x14ac:dyDescent="0.25"/>
    <row r="1069" s="145" customFormat="1" x14ac:dyDescent="0.25"/>
    <row r="1070" s="145" customFormat="1" x14ac:dyDescent="0.25"/>
    <row r="1071" s="145" customFormat="1" x14ac:dyDescent="0.25"/>
    <row r="1072" s="145" customFormat="1" x14ac:dyDescent="0.25"/>
    <row r="1073" s="145" customFormat="1" x14ac:dyDescent="0.25"/>
    <row r="1074" s="145" customFormat="1" x14ac:dyDescent="0.25"/>
    <row r="1075" s="145" customFormat="1" x14ac:dyDescent="0.25"/>
    <row r="1076" s="145" customFormat="1" x14ac:dyDescent="0.25"/>
    <row r="1077" s="145" customFormat="1" x14ac:dyDescent="0.25"/>
    <row r="1078" s="145" customFormat="1" x14ac:dyDescent="0.25"/>
    <row r="1079" s="145" customFormat="1" x14ac:dyDescent="0.25"/>
    <row r="1080" s="145" customFormat="1" x14ac:dyDescent="0.25"/>
    <row r="1081" s="145" customFormat="1" x14ac:dyDescent="0.25"/>
    <row r="1082" s="145" customFormat="1" x14ac:dyDescent="0.25"/>
    <row r="1083" s="145" customFormat="1" x14ac:dyDescent="0.25"/>
    <row r="1084" s="145" customFormat="1" x14ac:dyDescent="0.25"/>
  </sheetData>
  <mergeCells count="122">
    <mergeCell ref="R1:V1"/>
    <mergeCell ref="R3:V3"/>
    <mergeCell ref="R4:V4"/>
    <mergeCell ref="R5:V5"/>
    <mergeCell ref="R6:V6"/>
    <mergeCell ref="R7:V7"/>
    <mergeCell ref="R8:V8"/>
    <mergeCell ref="A11:V11"/>
    <mergeCell ref="A12:V12"/>
    <mergeCell ref="A13:V13"/>
    <mergeCell ref="A14:A17"/>
    <mergeCell ref="B14:B17"/>
    <mergeCell ref="C14:C17"/>
    <mergeCell ref="D14:E14"/>
    <mergeCell ref="F14:F17"/>
    <mergeCell ref="G14:G17"/>
    <mergeCell ref="H14:H17"/>
    <mergeCell ref="I14:I16"/>
    <mergeCell ref="J14:K14"/>
    <mergeCell ref="L14:L16"/>
    <mergeCell ref="M14:S14"/>
    <mergeCell ref="T14:T16"/>
    <mergeCell ref="U14:U16"/>
    <mergeCell ref="V14:V17"/>
    <mergeCell ref="D15:D17"/>
    <mergeCell ref="E15:E17"/>
    <mergeCell ref="J15:J16"/>
    <mergeCell ref="K15:K16"/>
    <mergeCell ref="M15:M16"/>
    <mergeCell ref="N15:S15"/>
    <mergeCell ref="A20:B20"/>
    <mergeCell ref="A21:B21"/>
    <mergeCell ref="A223:B223"/>
    <mergeCell ref="A228:B228"/>
    <mergeCell ref="A237:B237"/>
    <mergeCell ref="A244:B244"/>
    <mergeCell ref="A266:B266"/>
    <mergeCell ref="A268:B268"/>
    <mergeCell ref="A276:B276"/>
    <mergeCell ref="A279:B279"/>
    <mergeCell ref="A295:B295"/>
    <mergeCell ref="A312:B312"/>
    <mergeCell ref="A315:B315"/>
    <mergeCell ref="A318:B318"/>
    <mergeCell ref="A324:B324"/>
    <mergeCell ref="A338:B338"/>
    <mergeCell ref="A344:B344"/>
    <mergeCell ref="A359:B359"/>
    <mergeCell ref="A370:B370"/>
    <mergeCell ref="A380:B380"/>
    <mergeCell ref="A386:B386"/>
    <mergeCell ref="A389:B389"/>
    <mergeCell ref="A395:B395"/>
    <mergeCell ref="A402:B402"/>
    <mergeCell ref="A407:B407"/>
    <mergeCell ref="A419:B419"/>
    <mergeCell ref="A420:B420"/>
    <mergeCell ref="A438:B438"/>
    <mergeCell ref="A456:B456"/>
    <mergeCell ref="A460:B460"/>
    <mergeCell ref="A464:B464"/>
    <mergeCell ref="A465:B465"/>
    <mergeCell ref="A637:B637"/>
    <mergeCell ref="A639:B639"/>
    <mergeCell ref="A643:B643"/>
    <mergeCell ref="A652:B652"/>
    <mergeCell ref="A662:B662"/>
    <mergeCell ref="A667:B667"/>
    <mergeCell ref="A674:B674"/>
    <mergeCell ref="A678:B678"/>
    <mergeCell ref="A681:B681"/>
    <mergeCell ref="A697:B697"/>
    <mergeCell ref="A701:B701"/>
    <mergeCell ref="A703:B703"/>
    <mergeCell ref="A706:B706"/>
    <mergeCell ref="A709:B709"/>
    <mergeCell ref="A717:B717"/>
    <mergeCell ref="A741:B741"/>
    <mergeCell ref="A748:B748"/>
    <mergeCell ref="A757:B757"/>
    <mergeCell ref="A762:B762"/>
    <mergeCell ref="A765:B765"/>
    <mergeCell ref="A767:B767"/>
    <mergeCell ref="A771:B771"/>
    <mergeCell ref="A780:B780"/>
    <mergeCell ref="A799:B799"/>
    <mergeCell ref="A801:B801"/>
    <mergeCell ref="A823:B823"/>
    <mergeCell ref="A824:B824"/>
    <mergeCell ref="A854:B854"/>
    <mergeCell ref="A856:B856"/>
    <mergeCell ref="A858:B858"/>
    <mergeCell ref="A875:B875"/>
    <mergeCell ref="A877:B877"/>
    <mergeCell ref="A886:B886"/>
    <mergeCell ref="A888:B888"/>
    <mergeCell ref="A894:B894"/>
    <mergeCell ref="A901:B901"/>
    <mergeCell ref="A906:B906"/>
    <mergeCell ref="A910:B910"/>
    <mergeCell ref="A913:B913"/>
    <mergeCell ref="A918:B918"/>
    <mergeCell ref="A922:B922"/>
    <mergeCell ref="A925:B925"/>
    <mergeCell ref="A931:B931"/>
    <mergeCell ref="A934:B934"/>
    <mergeCell ref="A949:B949"/>
    <mergeCell ref="A959:B959"/>
    <mergeCell ref="A960:V960"/>
    <mergeCell ref="A961:B961"/>
    <mergeCell ref="A962:B962"/>
    <mergeCell ref="A1037:B1037"/>
    <mergeCell ref="A1040:B1040"/>
    <mergeCell ref="A1000:B1000"/>
    <mergeCell ref="A1002:B1002"/>
    <mergeCell ref="A1004:B1004"/>
    <mergeCell ref="A1006:B1006"/>
    <mergeCell ref="A1009:B1009"/>
    <mergeCell ref="A1024:B1024"/>
    <mergeCell ref="A1029:B1029"/>
    <mergeCell ref="A1032:B1032"/>
    <mergeCell ref="A1033:B1033"/>
  </mergeCells>
  <pageMargins left="0.31496062992125984" right="0.11811023622047245" top="0.57874015748031493" bottom="0.33858267716535428" header="0.31496062992125984" footer="0.28000000000000003"/>
  <pageSetup paperSize="9" scale="45" firstPageNumber="2" orientation="landscape" useFirstPageNumber="1" r:id="rId1"/>
  <headerFooter>
    <oddHeader>&amp;C&amp;"Times New Roman,Regular "&amp;20&amp;P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104"/>
  <sheetViews>
    <sheetView view="pageBreakPreview" topLeftCell="A14" zoomScale="85" workbookViewId="0">
      <selection activeCell="I14" sqref="I14"/>
    </sheetView>
  </sheetViews>
  <sheetFormatPr defaultRowHeight="15" x14ac:dyDescent="0.25"/>
  <cols>
    <col min="1" max="1" width="6.28515625" style="3" customWidth="1"/>
    <col min="2" max="2" width="48" style="1" customWidth="1"/>
    <col min="3" max="3" width="13.42578125" style="1" customWidth="1"/>
    <col min="4" max="4" width="16.85546875" style="1" customWidth="1"/>
    <col min="5" max="6" width="10.7109375" style="1" customWidth="1"/>
    <col min="7" max="8" width="11.5703125" style="1" customWidth="1"/>
    <col min="9" max="9" width="10.7109375" style="1" customWidth="1"/>
    <col min="10" max="10" width="10.140625" style="1" customWidth="1"/>
    <col min="11" max="12" width="11.42578125" style="1" customWidth="1"/>
    <col min="13" max="13" width="18" style="1" customWidth="1"/>
    <col min="14" max="14" width="20.85546875" style="1" customWidth="1"/>
    <col min="15" max="15" width="21.85546875" style="6" customWidth="1"/>
    <col min="16" max="16" width="19.5703125" customWidth="1"/>
  </cols>
  <sheetData>
    <row r="1" spans="1:14" ht="8.25" customHeight="1" x14ac:dyDescent="0.25">
      <c r="K1" s="342"/>
      <c r="L1" s="342"/>
      <c r="M1" s="342"/>
      <c r="N1" s="342"/>
    </row>
    <row r="2" spans="1:14" ht="36" customHeight="1" x14ac:dyDescent="0.3">
      <c r="A2" s="343" t="s">
        <v>843</v>
      </c>
      <c r="B2" s="343"/>
      <c r="C2" s="343"/>
      <c r="D2" s="343"/>
      <c r="E2" s="343"/>
      <c r="F2" s="343"/>
      <c r="G2" s="343"/>
      <c r="H2" s="343"/>
      <c r="I2" s="343"/>
      <c r="J2" s="343"/>
      <c r="K2" s="343"/>
      <c r="L2" s="343"/>
      <c r="M2" s="343"/>
      <c r="N2" s="343"/>
    </row>
    <row r="4" spans="1:14" ht="51" customHeight="1" x14ac:dyDescent="0.25">
      <c r="A4" s="344" t="s">
        <v>8</v>
      </c>
      <c r="B4" s="344" t="s">
        <v>844</v>
      </c>
      <c r="C4" s="344" t="s">
        <v>845</v>
      </c>
      <c r="D4" s="344" t="s">
        <v>846</v>
      </c>
      <c r="E4" s="344" t="s">
        <v>847</v>
      </c>
      <c r="F4" s="344"/>
      <c r="G4" s="344"/>
      <c r="H4" s="344"/>
      <c r="I4" s="344"/>
      <c r="J4" s="344" t="s">
        <v>18</v>
      </c>
      <c r="K4" s="344"/>
      <c r="L4" s="344"/>
      <c r="M4" s="344"/>
      <c r="N4" s="344"/>
    </row>
    <row r="5" spans="1:14" ht="55.5" customHeight="1" x14ac:dyDescent="0.25">
      <c r="A5" s="344"/>
      <c r="B5" s="344"/>
      <c r="C5" s="344"/>
      <c r="D5" s="344"/>
      <c r="E5" s="162" t="s">
        <v>848</v>
      </c>
      <c r="F5" s="162" t="s">
        <v>849</v>
      </c>
      <c r="G5" s="162" t="s">
        <v>850</v>
      </c>
      <c r="H5" s="162" t="s">
        <v>851</v>
      </c>
      <c r="I5" s="162" t="s">
        <v>852</v>
      </c>
      <c r="J5" s="162" t="s">
        <v>848</v>
      </c>
      <c r="K5" s="162" t="s">
        <v>849</v>
      </c>
      <c r="L5" s="162" t="s">
        <v>850</v>
      </c>
      <c r="M5" s="162" t="s">
        <v>851</v>
      </c>
      <c r="N5" s="162" t="s">
        <v>852</v>
      </c>
    </row>
    <row r="6" spans="1:14" x14ac:dyDescent="0.25">
      <c r="A6" s="344"/>
      <c r="B6" s="344"/>
      <c r="C6" s="162" t="s">
        <v>33</v>
      </c>
      <c r="D6" s="162" t="s">
        <v>34</v>
      </c>
      <c r="E6" s="162" t="s">
        <v>853</v>
      </c>
      <c r="F6" s="162" t="s">
        <v>853</v>
      </c>
      <c r="G6" s="162" t="s">
        <v>853</v>
      </c>
      <c r="H6" s="162" t="s">
        <v>853</v>
      </c>
      <c r="I6" s="162" t="s">
        <v>853</v>
      </c>
      <c r="J6" s="162" t="s">
        <v>35</v>
      </c>
      <c r="K6" s="162" t="s">
        <v>35</v>
      </c>
      <c r="L6" s="162" t="s">
        <v>35</v>
      </c>
      <c r="M6" s="162" t="s">
        <v>35</v>
      </c>
      <c r="N6" s="162" t="s">
        <v>35</v>
      </c>
    </row>
    <row r="7" spans="1:14" x14ac:dyDescent="0.25">
      <c r="A7" s="162">
        <v>1</v>
      </c>
      <c r="B7" s="162">
        <v>2</v>
      </c>
      <c r="C7" s="162">
        <v>3</v>
      </c>
      <c r="D7" s="162">
        <v>4</v>
      </c>
      <c r="E7" s="162">
        <v>5</v>
      </c>
      <c r="F7" s="162">
        <v>6</v>
      </c>
      <c r="G7" s="162">
        <v>7</v>
      </c>
      <c r="H7" s="162">
        <v>8</v>
      </c>
      <c r="I7" s="162">
        <v>9</v>
      </c>
      <c r="J7" s="162">
        <v>10</v>
      </c>
      <c r="K7" s="162">
        <v>11</v>
      </c>
      <c r="L7" s="162">
        <v>12</v>
      </c>
      <c r="M7" s="162">
        <v>13</v>
      </c>
      <c r="N7" s="162">
        <v>14</v>
      </c>
    </row>
    <row r="8" spans="1:14" s="163" customFormat="1" ht="22.5" customHeight="1" x14ac:dyDescent="0.25">
      <c r="A8" s="164"/>
      <c r="B8" s="165" t="s">
        <v>37</v>
      </c>
      <c r="C8" s="166"/>
      <c r="D8" s="166"/>
      <c r="E8" s="166"/>
      <c r="F8" s="166"/>
      <c r="G8" s="166"/>
      <c r="H8" s="166"/>
      <c r="I8" s="166"/>
      <c r="J8" s="166"/>
      <c r="K8" s="166"/>
      <c r="L8" s="166"/>
      <c r="M8" s="166"/>
      <c r="N8" s="166"/>
    </row>
    <row r="9" spans="1:14" s="167" customFormat="1" ht="20.100000000000001" customHeight="1" x14ac:dyDescent="0.25">
      <c r="A9" s="168"/>
      <c r="B9" s="169" t="s">
        <v>752</v>
      </c>
      <c r="C9" s="170">
        <f t="shared" ref="C9:N9" si="0">SUM(C10:C28)+SUM(C29:C34)</f>
        <v>1319026.3400000001</v>
      </c>
      <c r="D9" s="171">
        <f t="shared" si="0"/>
        <v>40688</v>
      </c>
      <c r="E9" s="171">
        <f t="shared" si="0"/>
        <v>0</v>
      </c>
      <c r="F9" s="171">
        <f t="shared" si="0"/>
        <v>0</v>
      </c>
      <c r="G9" s="171">
        <f t="shared" si="0"/>
        <v>0</v>
      </c>
      <c r="H9" s="171">
        <f t="shared" si="0"/>
        <v>412</v>
      </c>
      <c r="I9" s="171">
        <f t="shared" si="0"/>
        <v>412</v>
      </c>
      <c r="J9" s="170">
        <f t="shared" si="0"/>
        <v>0</v>
      </c>
      <c r="K9" s="170">
        <f t="shared" si="0"/>
        <v>0</v>
      </c>
      <c r="L9" s="170">
        <f t="shared" si="0"/>
        <v>0</v>
      </c>
      <c r="M9" s="170">
        <f t="shared" si="0"/>
        <v>1464616546.0300007</v>
      </c>
      <c r="N9" s="170">
        <f t="shared" si="0"/>
        <v>1464616546.0300007</v>
      </c>
    </row>
    <row r="10" spans="1:14" s="145" customFormat="1" ht="22.5" customHeight="1" x14ac:dyDescent="0.25">
      <c r="A10" s="172">
        <v>1</v>
      </c>
      <c r="B10" s="173" t="s">
        <v>854</v>
      </c>
      <c r="C10" s="174">
        <f>'Таблица 1'!I21</f>
        <v>804240.72000000009</v>
      </c>
      <c r="D10" s="175">
        <f>'Таблица 1'!L21</f>
        <v>24560</v>
      </c>
      <c r="E10" s="175">
        <v>0</v>
      </c>
      <c r="F10" s="175">
        <v>0</v>
      </c>
      <c r="G10" s="175">
        <v>0</v>
      </c>
      <c r="H10" s="175">
        <v>201</v>
      </c>
      <c r="I10" s="175">
        <f t="shared" ref="I10:I33" si="1">H10</f>
        <v>201</v>
      </c>
      <c r="J10" s="174">
        <v>0</v>
      </c>
      <c r="K10" s="174">
        <v>0</v>
      </c>
      <c r="L10" s="174">
        <v>0</v>
      </c>
      <c r="M10" s="174">
        <f>'Таблица 1'!M21</f>
        <v>888437309.85000038</v>
      </c>
      <c r="N10" s="174">
        <f t="shared" ref="N10:N33" si="2">M10</f>
        <v>888437309.85000038</v>
      </c>
    </row>
    <row r="11" spans="1:14" s="145" customFormat="1" ht="22.5" customHeight="1" x14ac:dyDescent="0.25">
      <c r="A11" s="172">
        <v>2</v>
      </c>
      <c r="B11" s="173" t="s">
        <v>855</v>
      </c>
      <c r="C11" s="174">
        <f>'Таблица 1'!I223</f>
        <v>4229.67</v>
      </c>
      <c r="D11" s="175">
        <f>'Таблица 1'!L223</f>
        <v>129</v>
      </c>
      <c r="E11" s="175">
        <v>0</v>
      </c>
      <c r="F11" s="175">
        <v>0</v>
      </c>
      <c r="G11" s="175">
        <v>0</v>
      </c>
      <c r="H11" s="175">
        <v>4</v>
      </c>
      <c r="I11" s="175">
        <f t="shared" si="1"/>
        <v>4</v>
      </c>
      <c r="J11" s="174">
        <v>0</v>
      </c>
      <c r="K11" s="174">
        <v>0</v>
      </c>
      <c r="L11" s="174">
        <v>0</v>
      </c>
      <c r="M11" s="174">
        <f>'Таблица 1'!M223</f>
        <v>3857022.2100000004</v>
      </c>
      <c r="N11" s="174">
        <f t="shared" si="2"/>
        <v>3857022.2100000004</v>
      </c>
    </row>
    <row r="12" spans="1:14" s="145" customFormat="1" ht="22.5" customHeight="1" x14ac:dyDescent="0.25">
      <c r="A12" s="172">
        <v>3</v>
      </c>
      <c r="B12" s="173" t="s">
        <v>856</v>
      </c>
      <c r="C12" s="174">
        <f>'Таблица 1'!I228</f>
        <v>42614</v>
      </c>
      <c r="D12" s="175">
        <f>'Таблица 1'!L228</f>
        <v>1576</v>
      </c>
      <c r="E12" s="175">
        <v>0</v>
      </c>
      <c r="F12" s="175">
        <v>0</v>
      </c>
      <c r="G12" s="175">
        <v>0</v>
      </c>
      <c r="H12" s="175">
        <v>8</v>
      </c>
      <c r="I12" s="175">
        <f t="shared" si="1"/>
        <v>8</v>
      </c>
      <c r="J12" s="174">
        <v>0</v>
      </c>
      <c r="K12" s="174">
        <v>0</v>
      </c>
      <c r="L12" s="174">
        <v>0</v>
      </c>
      <c r="M12" s="174">
        <f>'Таблица 1'!M228</f>
        <v>7365317.75</v>
      </c>
      <c r="N12" s="174">
        <f t="shared" si="2"/>
        <v>7365317.75</v>
      </c>
    </row>
    <row r="13" spans="1:14" s="145" customFormat="1" ht="22.5" customHeight="1" x14ac:dyDescent="0.25">
      <c r="A13" s="172">
        <v>4</v>
      </c>
      <c r="B13" s="173" t="s">
        <v>857</v>
      </c>
      <c r="C13" s="174">
        <f>'Таблица 1'!I237</f>
        <v>6364.630000000001</v>
      </c>
      <c r="D13" s="175">
        <f>'Таблица 1'!L237</f>
        <v>175</v>
      </c>
      <c r="E13" s="175">
        <v>0</v>
      </c>
      <c r="F13" s="175">
        <v>0</v>
      </c>
      <c r="G13" s="175">
        <v>0</v>
      </c>
      <c r="H13" s="175">
        <v>6</v>
      </c>
      <c r="I13" s="175">
        <f t="shared" si="1"/>
        <v>6</v>
      </c>
      <c r="J13" s="174">
        <v>0</v>
      </c>
      <c r="K13" s="174">
        <v>0</v>
      </c>
      <c r="L13" s="174">
        <v>0</v>
      </c>
      <c r="M13" s="174">
        <f>'Таблица 1'!M237</f>
        <v>9120712.9400000013</v>
      </c>
      <c r="N13" s="174">
        <f t="shared" si="2"/>
        <v>9120712.9400000013</v>
      </c>
    </row>
    <row r="14" spans="1:14" s="145" customFormat="1" ht="22.5" customHeight="1" x14ac:dyDescent="0.25">
      <c r="A14" s="172">
        <v>5</v>
      </c>
      <c r="B14" s="173" t="s">
        <v>858</v>
      </c>
      <c r="C14" s="174">
        <f>'Таблица 1'!I244</f>
        <v>44219.390000000007</v>
      </c>
      <c r="D14" s="175">
        <f>'Таблица 1'!L244</f>
        <v>1468</v>
      </c>
      <c r="E14" s="175">
        <v>0</v>
      </c>
      <c r="F14" s="175">
        <v>0</v>
      </c>
      <c r="G14" s="175">
        <v>0</v>
      </c>
      <c r="H14" s="175">
        <v>21</v>
      </c>
      <c r="I14" s="175">
        <f t="shared" si="1"/>
        <v>21</v>
      </c>
      <c r="J14" s="174">
        <v>0</v>
      </c>
      <c r="K14" s="174">
        <v>0</v>
      </c>
      <c r="L14" s="174">
        <v>0</v>
      </c>
      <c r="M14" s="174">
        <f>'Таблица 1'!M244</f>
        <v>63007081.75999999</v>
      </c>
      <c r="N14" s="174">
        <f t="shared" si="2"/>
        <v>63007081.75999999</v>
      </c>
    </row>
    <row r="15" spans="1:14" s="145" customFormat="1" ht="22.5" customHeight="1" x14ac:dyDescent="0.25">
      <c r="A15" s="172">
        <v>6</v>
      </c>
      <c r="B15" s="173" t="s">
        <v>859</v>
      </c>
      <c r="C15" s="174">
        <f>'Таблица 1'!I266</f>
        <v>555.1</v>
      </c>
      <c r="D15" s="175">
        <f>'Таблица 1'!L266</f>
        <v>24</v>
      </c>
      <c r="E15" s="175">
        <v>0</v>
      </c>
      <c r="F15" s="175">
        <v>0</v>
      </c>
      <c r="G15" s="175">
        <v>0</v>
      </c>
      <c r="H15" s="175">
        <v>1</v>
      </c>
      <c r="I15" s="175">
        <f t="shared" si="1"/>
        <v>1</v>
      </c>
      <c r="J15" s="174">
        <v>0</v>
      </c>
      <c r="K15" s="174">
        <v>0</v>
      </c>
      <c r="L15" s="174">
        <v>0</v>
      </c>
      <c r="M15" s="174">
        <f>'Таблица 1'!M266</f>
        <v>200729.9</v>
      </c>
      <c r="N15" s="174">
        <f t="shared" si="2"/>
        <v>200729.9</v>
      </c>
    </row>
    <row r="16" spans="1:14" s="145" customFormat="1" ht="20.25" customHeight="1" x14ac:dyDescent="0.25">
      <c r="A16" s="172">
        <v>7</v>
      </c>
      <c r="B16" s="173" t="s">
        <v>860</v>
      </c>
      <c r="C16" s="174">
        <f>'Таблица 1'!I268</f>
        <v>14777.3</v>
      </c>
      <c r="D16" s="175">
        <f>'Таблица 1'!L268</f>
        <v>414</v>
      </c>
      <c r="E16" s="175">
        <v>0</v>
      </c>
      <c r="F16" s="175">
        <v>0</v>
      </c>
      <c r="G16" s="175">
        <v>0</v>
      </c>
      <c r="H16" s="175">
        <v>7</v>
      </c>
      <c r="I16" s="175">
        <f t="shared" si="1"/>
        <v>7</v>
      </c>
      <c r="J16" s="174">
        <v>0</v>
      </c>
      <c r="K16" s="174">
        <v>0</v>
      </c>
      <c r="L16" s="174">
        <v>0</v>
      </c>
      <c r="M16" s="174">
        <f>'Таблица 1'!M268</f>
        <v>15274966.289999999</v>
      </c>
      <c r="N16" s="174">
        <f t="shared" si="2"/>
        <v>15274966.289999999</v>
      </c>
    </row>
    <row r="17" spans="1:14" s="145" customFormat="1" ht="22.15" customHeight="1" x14ac:dyDescent="0.25">
      <c r="A17" s="172">
        <v>8</v>
      </c>
      <c r="B17" s="173" t="s">
        <v>861</v>
      </c>
      <c r="C17" s="174">
        <f>'Таблица 1'!I276</f>
        <v>5936.5</v>
      </c>
      <c r="D17" s="175">
        <f>'Таблица 1'!L276</f>
        <v>224</v>
      </c>
      <c r="E17" s="175">
        <v>0</v>
      </c>
      <c r="F17" s="175">
        <v>0</v>
      </c>
      <c r="G17" s="175">
        <v>0</v>
      </c>
      <c r="H17" s="175">
        <v>2</v>
      </c>
      <c r="I17" s="175">
        <f t="shared" si="1"/>
        <v>2</v>
      </c>
      <c r="J17" s="174">
        <v>0</v>
      </c>
      <c r="K17" s="174">
        <v>0</v>
      </c>
      <c r="L17" s="174">
        <v>0</v>
      </c>
      <c r="M17" s="174">
        <f>'Таблица 1'!M276</f>
        <v>1025320.6000000001</v>
      </c>
      <c r="N17" s="174">
        <f t="shared" si="2"/>
        <v>1025320.6000000001</v>
      </c>
    </row>
    <row r="18" spans="1:14" s="145" customFormat="1" ht="22.15" customHeight="1" x14ac:dyDescent="0.25">
      <c r="A18" s="172">
        <v>9</v>
      </c>
      <c r="B18" s="173" t="s">
        <v>862</v>
      </c>
      <c r="C18" s="174">
        <f>'Таблица 1'!I279</f>
        <v>28248</v>
      </c>
      <c r="D18" s="175">
        <f>'Таблица 1'!L279</f>
        <v>785</v>
      </c>
      <c r="E18" s="175">
        <v>0</v>
      </c>
      <c r="F18" s="175">
        <v>0</v>
      </c>
      <c r="G18" s="175">
        <v>0</v>
      </c>
      <c r="H18" s="175">
        <v>15</v>
      </c>
      <c r="I18" s="175">
        <f t="shared" si="1"/>
        <v>15</v>
      </c>
      <c r="J18" s="174">
        <v>0</v>
      </c>
      <c r="K18" s="174">
        <v>0</v>
      </c>
      <c r="L18" s="174">
        <v>0</v>
      </c>
      <c r="M18" s="174">
        <f>'Таблица 1'!M279</f>
        <v>45698775.029999994</v>
      </c>
      <c r="N18" s="174">
        <f t="shared" si="2"/>
        <v>45698775.029999994</v>
      </c>
    </row>
    <row r="19" spans="1:14" s="145" customFormat="1" ht="22.15" customHeight="1" x14ac:dyDescent="0.25">
      <c r="A19" s="172">
        <v>10</v>
      </c>
      <c r="B19" s="173" t="s">
        <v>863</v>
      </c>
      <c r="C19" s="174">
        <f>'Таблица 1'!I295</f>
        <v>83437.17</v>
      </c>
      <c r="D19" s="175">
        <f>'Таблица 1'!L295</f>
        <v>2086</v>
      </c>
      <c r="E19" s="175">
        <v>0</v>
      </c>
      <c r="F19" s="175">
        <v>0</v>
      </c>
      <c r="G19" s="175">
        <v>0</v>
      </c>
      <c r="H19" s="176">
        <v>16</v>
      </c>
      <c r="I19" s="175">
        <f t="shared" si="1"/>
        <v>16</v>
      </c>
      <c r="J19" s="174">
        <v>0</v>
      </c>
      <c r="K19" s="174">
        <v>0</v>
      </c>
      <c r="L19" s="174">
        <v>0</v>
      </c>
      <c r="M19" s="174">
        <f>'Таблица 1'!M295</f>
        <v>15563709.579999996</v>
      </c>
      <c r="N19" s="174">
        <f t="shared" si="2"/>
        <v>15563709.579999996</v>
      </c>
    </row>
    <row r="20" spans="1:14" s="145" customFormat="1" ht="22.5" customHeight="1" x14ac:dyDescent="0.25">
      <c r="A20" s="172">
        <v>11</v>
      </c>
      <c r="B20" s="173" t="s">
        <v>864</v>
      </c>
      <c r="C20" s="174">
        <f>'Таблица 1'!I312</f>
        <v>2077.59</v>
      </c>
      <c r="D20" s="175">
        <f>'Таблица 1'!L312</f>
        <v>57</v>
      </c>
      <c r="E20" s="175">
        <v>0</v>
      </c>
      <c r="F20" s="175">
        <v>0</v>
      </c>
      <c r="G20" s="175">
        <v>0</v>
      </c>
      <c r="H20" s="175">
        <v>2</v>
      </c>
      <c r="I20" s="175">
        <f t="shared" si="1"/>
        <v>2</v>
      </c>
      <c r="J20" s="174">
        <v>0</v>
      </c>
      <c r="K20" s="174">
        <v>0</v>
      </c>
      <c r="L20" s="174">
        <v>0</v>
      </c>
      <c r="M20" s="174">
        <f>'Таблица 1'!M312</f>
        <v>2246914.9700000002</v>
      </c>
      <c r="N20" s="174">
        <f t="shared" si="2"/>
        <v>2246914.9700000002</v>
      </c>
    </row>
    <row r="21" spans="1:14" s="145" customFormat="1" ht="22.5" customHeight="1" x14ac:dyDescent="0.25">
      <c r="A21" s="172">
        <v>12</v>
      </c>
      <c r="B21" s="173" t="s">
        <v>865</v>
      </c>
      <c r="C21" s="174">
        <f>'Таблица 1'!I315</f>
        <v>2507.6</v>
      </c>
      <c r="D21" s="175">
        <f>'Таблица 1'!L315</f>
        <v>62</v>
      </c>
      <c r="E21" s="175">
        <v>0</v>
      </c>
      <c r="F21" s="175">
        <v>0</v>
      </c>
      <c r="G21" s="175">
        <v>0</v>
      </c>
      <c r="H21" s="175">
        <v>2</v>
      </c>
      <c r="I21" s="175">
        <f t="shared" si="1"/>
        <v>2</v>
      </c>
      <c r="J21" s="174">
        <v>0</v>
      </c>
      <c r="K21" s="174">
        <v>0</v>
      </c>
      <c r="L21" s="174">
        <v>0</v>
      </c>
      <c r="M21" s="174">
        <f>'Таблица 1'!M315</f>
        <v>1575708.7</v>
      </c>
      <c r="N21" s="174">
        <f t="shared" si="2"/>
        <v>1575708.7</v>
      </c>
    </row>
    <row r="22" spans="1:14" s="145" customFormat="1" ht="22.15" customHeight="1" x14ac:dyDescent="0.25">
      <c r="A22" s="172">
        <v>13</v>
      </c>
      <c r="B22" s="173" t="s">
        <v>866</v>
      </c>
      <c r="C22" s="174">
        <f>'Таблица 1'!I318</f>
        <v>14553.2</v>
      </c>
      <c r="D22" s="175">
        <f>'Таблица 1'!L318</f>
        <v>200</v>
      </c>
      <c r="E22" s="175">
        <v>0</v>
      </c>
      <c r="F22" s="175">
        <v>0</v>
      </c>
      <c r="G22" s="175">
        <v>0</v>
      </c>
      <c r="H22" s="175">
        <v>5</v>
      </c>
      <c r="I22" s="175">
        <f t="shared" si="1"/>
        <v>5</v>
      </c>
      <c r="J22" s="174">
        <v>0</v>
      </c>
      <c r="K22" s="174">
        <v>0</v>
      </c>
      <c r="L22" s="174">
        <v>0</v>
      </c>
      <c r="M22" s="174">
        <f>'Таблица 1'!M318</f>
        <v>70642855.790000007</v>
      </c>
      <c r="N22" s="174">
        <f t="shared" si="2"/>
        <v>70642855.790000007</v>
      </c>
    </row>
    <row r="23" spans="1:14" s="145" customFormat="1" ht="22.15" customHeight="1" x14ac:dyDescent="0.25">
      <c r="A23" s="172">
        <v>14</v>
      </c>
      <c r="B23" s="173" t="s">
        <v>867</v>
      </c>
      <c r="C23" s="174">
        <f>'Таблица 1'!I324</f>
        <v>39328.300000000003</v>
      </c>
      <c r="D23" s="175">
        <f>'Таблица 1'!L324</f>
        <v>1564</v>
      </c>
      <c r="E23" s="175">
        <v>0</v>
      </c>
      <c r="F23" s="175">
        <v>0</v>
      </c>
      <c r="G23" s="175">
        <v>0</v>
      </c>
      <c r="H23" s="175">
        <v>13</v>
      </c>
      <c r="I23" s="175">
        <f t="shared" si="1"/>
        <v>13</v>
      </c>
      <c r="J23" s="174">
        <v>0</v>
      </c>
      <c r="K23" s="174">
        <v>0</v>
      </c>
      <c r="L23" s="174">
        <v>0</v>
      </c>
      <c r="M23" s="174">
        <f>'Таблица 1'!M324</f>
        <v>47136180.99000001</v>
      </c>
      <c r="N23" s="174">
        <f t="shared" si="2"/>
        <v>47136180.99000001</v>
      </c>
    </row>
    <row r="24" spans="1:14" s="145" customFormat="1" ht="22.5" customHeight="1" x14ac:dyDescent="0.25">
      <c r="A24" s="172">
        <v>15</v>
      </c>
      <c r="B24" s="173" t="s">
        <v>868</v>
      </c>
      <c r="C24" s="174">
        <f>'Таблица 1'!I338</f>
        <v>14979.04</v>
      </c>
      <c r="D24" s="175">
        <f>'Таблица 1'!L338</f>
        <v>576</v>
      </c>
      <c r="E24" s="175">
        <v>0</v>
      </c>
      <c r="F24" s="175">
        <v>0</v>
      </c>
      <c r="G24" s="175">
        <v>0</v>
      </c>
      <c r="H24" s="175">
        <v>5</v>
      </c>
      <c r="I24" s="175">
        <f t="shared" si="1"/>
        <v>5</v>
      </c>
      <c r="J24" s="174">
        <v>0</v>
      </c>
      <c r="K24" s="174">
        <v>0</v>
      </c>
      <c r="L24" s="174">
        <v>0</v>
      </c>
      <c r="M24" s="174">
        <f>'Таблица 1'!M338</f>
        <v>9147092.0600000005</v>
      </c>
      <c r="N24" s="174">
        <f t="shared" si="2"/>
        <v>9147092.0600000005</v>
      </c>
    </row>
    <row r="25" spans="1:14" s="145" customFormat="1" ht="22.5" customHeight="1" x14ac:dyDescent="0.25">
      <c r="A25" s="172">
        <v>16</v>
      </c>
      <c r="B25" s="173" t="s">
        <v>869</v>
      </c>
      <c r="C25" s="174">
        <f>'Таблица 1'!I344</f>
        <v>59411.900000000009</v>
      </c>
      <c r="D25" s="175">
        <f>'Таблица 1'!L344</f>
        <v>1866</v>
      </c>
      <c r="E25" s="175">
        <v>0</v>
      </c>
      <c r="F25" s="175">
        <v>0</v>
      </c>
      <c r="G25" s="175">
        <v>0</v>
      </c>
      <c r="H25" s="175">
        <v>14</v>
      </c>
      <c r="I25" s="175">
        <f t="shared" si="1"/>
        <v>14</v>
      </c>
      <c r="J25" s="174">
        <v>0</v>
      </c>
      <c r="K25" s="174">
        <v>0</v>
      </c>
      <c r="L25" s="174">
        <v>0</v>
      </c>
      <c r="M25" s="174">
        <f>'Таблица 1'!M344</f>
        <v>52497090.729999997</v>
      </c>
      <c r="N25" s="174">
        <f t="shared" si="2"/>
        <v>52497090.729999997</v>
      </c>
    </row>
    <row r="26" spans="1:14" s="145" customFormat="1" ht="22.5" customHeight="1" x14ac:dyDescent="0.25">
      <c r="A26" s="172">
        <v>17</v>
      </c>
      <c r="B26" s="173" t="s">
        <v>870</v>
      </c>
      <c r="C26" s="174">
        <f>'Таблица 1'!I359</f>
        <v>23559.41</v>
      </c>
      <c r="D26" s="175">
        <f>'Таблица 1'!L359</f>
        <v>572</v>
      </c>
      <c r="E26" s="175">
        <v>0</v>
      </c>
      <c r="F26" s="175">
        <v>0</v>
      </c>
      <c r="G26" s="175">
        <v>0</v>
      </c>
      <c r="H26" s="175">
        <v>10</v>
      </c>
      <c r="I26" s="175">
        <f t="shared" si="1"/>
        <v>10</v>
      </c>
      <c r="J26" s="174">
        <v>0</v>
      </c>
      <c r="K26" s="174">
        <v>0</v>
      </c>
      <c r="L26" s="174">
        <v>0</v>
      </c>
      <c r="M26" s="174">
        <f>'Таблица 1'!M359</f>
        <v>50131385.139999993</v>
      </c>
      <c r="N26" s="174">
        <f t="shared" si="2"/>
        <v>50131385.139999993</v>
      </c>
    </row>
    <row r="27" spans="1:14" s="145" customFormat="1" ht="22.5" customHeight="1" x14ac:dyDescent="0.25">
      <c r="A27" s="172">
        <v>18</v>
      </c>
      <c r="B27" s="173" t="s">
        <v>871</v>
      </c>
      <c r="C27" s="174">
        <f>'Таблица 1'!I370</f>
        <v>7035.5499999999993</v>
      </c>
      <c r="D27" s="175">
        <f>'Таблица 1'!L370</f>
        <v>234</v>
      </c>
      <c r="E27" s="175">
        <v>0</v>
      </c>
      <c r="F27" s="175">
        <v>0</v>
      </c>
      <c r="G27" s="175">
        <v>0</v>
      </c>
      <c r="H27" s="175">
        <v>9</v>
      </c>
      <c r="I27" s="175">
        <f t="shared" si="1"/>
        <v>9</v>
      </c>
      <c r="J27" s="174">
        <v>0</v>
      </c>
      <c r="K27" s="174">
        <v>0</v>
      </c>
      <c r="L27" s="174">
        <v>0</v>
      </c>
      <c r="M27" s="174">
        <f>'Таблица 1'!M370</f>
        <v>14154042</v>
      </c>
      <c r="N27" s="174">
        <f t="shared" si="2"/>
        <v>14154042</v>
      </c>
    </row>
    <row r="28" spans="1:14" s="40" customFormat="1" ht="22.5" customHeight="1" x14ac:dyDescent="0.25">
      <c r="A28" s="172">
        <v>19</v>
      </c>
      <c r="B28" s="177" t="s">
        <v>872</v>
      </c>
      <c r="C28" s="178">
        <f>'Таблица 1'!I380</f>
        <v>8247.0999999999985</v>
      </c>
      <c r="D28" s="176">
        <f>'Таблица 1'!L380</f>
        <v>272</v>
      </c>
      <c r="E28" s="176">
        <v>0</v>
      </c>
      <c r="F28" s="176">
        <v>0</v>
      </c>
      <c r="G28" s="176">
        <v>0</v>
      </c>
      <c r="H28" s="176">
        <v>5</v>
      </c>
      <c r="I28" s="176">
        <f t="shared" si="1"/>
        <v>5</v>
      </c>
      <c r="J28" s="178">
        <v>0</v>
      </c>
      <c r="K28" s="178">
        <v>0</v>
      </c>
      <c r="L28" s="178">
        <v>0</v>
      </c>
      <c r="M28" s="178">
        <f>'Таблица 1'!M380</f>
        <v>5138679.28</v>
      </c>
      <c r="N28" s="178">
        <f t="shared" si="2"/>
        <v>5138679.28</v>
      </c>
    </row>
    <row r="29" spans="1:14" s="40" customFormat="1" ht="22.5" customHeight="1" x14ac:dyDescent="0.25">
      <c r="A29" s="179">
        <v>20</v>
      </c>
      <c r="B29" s="177" t="s">
        <v>873</v>
      </c>
      <c r="C29" s="178">
        <f>'Таблица 1'!I386</f>
        <v>2895.39</v>
      </c>
      <c r="D29" s="176">
        <f>'Таблица 1'!L386</f>
        <v>83</v>
      </c>
      <c r="E29" s="176">
        <v>0</v>
      </c>
      <c r="F29" s="176">
        <v>0</v>
      </c>
      <c r="G29" s="176">
        <v>0</v>
      </c>
      <c r="H29" s="176">
        <v>2</v>
      </c>
      <c r="I29" s="176">
        <f t="shared" si="1"/>
        <v>2</v>
      </c>
      <c r="J29" s="178">
        <v>0</v>
      </c>
      <c r="K29" s="178">
        <v>0</v>
      </c>
      <c r="L29" s="178">
        <v>0</v>
      </c>
      <c r="M29" s="178">
        <f>'Таблица 1'!M386</f>
        <v>1845810.1700000002</v>
      </c>
      <c r="N29" s="178">
        <f t="shared" si="2"/>
        <v>1845810.1700000002</v>
      </c>
    </row>
    <row r="30" spans="1:14" s="40" customFormat="1" ht="22.5" customHeight="1" x14ac:dyDescent="0.25">
      <c r="A30" s="179">
        <v>21</v>
      </c>
      <c r="B30" s="177" t="s">
        <v>874</v>
      </c>
      <c r="C30" s="178">
        <f>'Таблица 1'!I389</f>
        <v>5352.2999999999993</v>
      </c>
      <c r="D30" s="176">
        <f>'Таблица 1'!L389</f>
        <v>198</v>
      </c>
      <c r="E30" s="176">
        <v>0</v>
      </c>
      <c r="F30" s="176">
        <v>0</v>
      </c>
      <c r="G30" s="176">
        <v>0</v>
      </c>
      <c r="H30" s="176">
        <v>5</v>
      </c>
      <c r="I30" s="176">
        <f t="shared" si="1"/>
        <v>5</v>
      </c>
      <c r="J30" s="178">
        <v>0</v>
      </c>
      <c r="K30" s="178">
        <v>0</v>
      </c>
      <c r="L30" s="178">
        <v>0</v>
      </c>
      <c r="M30" s="178">
        <f>'Таблица 1'!M389</f>
        <v>7888827.0300000003</v>
      </c>
      <c r="N30" s="178">
        <f t="shared" si="2"/>
        <v>7888827.0300000003</v>
      </c>
    </row>
    <row r="31" spans="1:14" s="40" customFormat="1" ht="22.5" customHeight="1" x14ac:dyDescent="0.25">
      <c r="A31" s="179">
        <v>22</v>
      </c>
      <c r="B31" s="177" t="s">
        <v>875</v>
      </c>
      <c r="C31" s="178">
        <f>'Таблица 1'!I395</f>
        <v>8524.7199999999993</v>
      </c>
      <c r="D31" s="176">
        <f>'Таблица 1'!L395</f>
        <v>251</v>
      </c>
      <c r="E31" s="176">
        <v>0</v>
      </c>
      <c r="F31" s="176">
        <v>0</v>
      </c>
      <c r="G31" s="176">
        <v>0</v>
      </c>
      <c r="H31" s="176">
        <v>6</v>
      </c>
      <c r="I31" s="176">
        <f t="shared" si="1"/>
        <v>6</v>
      </c>
      <c r="J31" s="178">
        <v>0</v>
      </c>
      <c r="K31" s="178">
        <v>0</v>
      </c>
      <c r="L31" s="178">
        <v>0</v>
      </c>
      <c r="M31" s="178">
        <f>'Таблица 1'!M395</f>
        <v>6915654.7000000002</v>
      </c>
      <c r="N31" s="178">
        <f t="shared" si="2"/>
        <v>6915654.7000000002</v>
      </c>
    </row>
    <row r="32" spans="1:14" s="40" customFormat="1" ht="22.5" customHeight="1" x14ac:dyDescent="0.25">
      <c r="A32" s="179">
        <v>23</v>
      </c>
      <c r="B32" s="177" t="s">
        <v>876</v>
      </c>
      <c r="C32" s="180">
        <f>'Таблица 1'!I402</f>
        <v>4318.8</v>
      </c>
      <c r="D32" s="176">
        <f>'Таблица 1'!L402</f>
        <v>144</v>
      </c>
      <c r="E32" s="181">
        <v>0</v>
      </c>
      <c r="F32" s="176">
        <v>0</v>
      </c>
      <c r="G32" s="181">
        <v>0</v>
      </c>
      <c r="H32" s="176">
        <v>4</v>
      </c>
      <c r="I32" s="181">
        <f t="shared" si="1"/>
        <v>4</v>
      </c>
      <c r="J32" s="178">
        <v>0</v>
      </c>
      <c r="K32" s="180">
        <v>0</v>
      </c>
      <c r="L32" s="178">
        <v>0</v>
      </c>
      <c r="M32" s="180">
        <f>'Таблица 1'!M402</f>
        <v>21689586.439999998</v>
      </c>
      <c r="N32" s="178">
        <f t="shared" si="2"/>
        <v>21689586.439999998</v>
      </c>
    </row>
    <row r="33" spans="1:14" s="40" customFormat="1" ht="22.5" customHeight="1" x14ac:dyDescent="0.25">
      <c r="A33" s="179">
        <v>24</v>
      </c>
      <c r="B33" s="177" t="s">
        <v>877</v>
      </c>
      <c r="C33" s="178">
        <f>'Таблица 1'!I407</f>
        <v>31911.3</v>
      </c>
      <c r="D33" s="176">
        <f>'Таблица 1'!L407</f>
        <v>847</v>
      </c>
      <c r="E33" s="176">
        <v>0</v>
      </c>
      <c r="F33" s="176">
        <v>0</v>
      </c>
      <c r="G33" s="176">
        <v>0</v>
      </c>
      <c r="H33" s="176">
        <v>11</v>
      </c>
      <c r="I33" s="176">
        <f t="shared" si="1"/>
        <v>11</v>
      </c>
      <c r="J33" s="178">
        <v>0</v>
      </c>
      <c r="K33" s="178">
        <v>0</v>
      </c>
      <c r="L33" s="178">
        <v>0</v>
      </c>
      <c r="M33" s="178">
        <f>'Таблица 1'!M407</f>
        <v>54513546.969999991</v>
      </c>
      <c r="N33" s="178">
        <f t="shared" si="2"/>
        <v>54513546.969999991</v>
      </c>
    </row>
    <row r="34" spans="1:14" s="40" customFormat="1" ht="33.6" customHeight="1" x14ac:dyDescent="0.25">
      <c r="A34" s="179">
        <v>25</v>
      </c>
      <c r="B34" s="177" t="s">
        <v>878</v>
      </c>
      <c r="C34" s="178">
        <f>SUM(C35:C38)</f>
        <v>59701.660000000011</v>
      </c>
      <c r="D34" s="176">
        <f>SUM(D35:D38)</f>
        <v>2321</v>
      </c>
      <c r="E34" s="176">
        <f t="shared" ref="E34:E37" si="3">SUM(E35:E38)</f>
        <v>0</v>
      </c>
      <c r="F34" s="176">
        <f t="shared" ref="F34:F37" si="4">SUM(F35:F38)</f>
        <v>0</v>
      </c>
      <c r="G34" s="176">
        <f t="shared" ref="G34:G37" si="5">SUM(G35:G38)</f>
        <v>0</v>
      </c>
      <c r="H34" s="176">
        <f>SUM(H35:H38)</f>
        <v>38</v>
      </c>
      <c r="I34" s="176">
        <f>SUM(I35:I38)</f>
        <v>38</v>
      </c>
      <c r="J34" s="178">
        <f t="shared" ref="J34:J37" si="6">SUM(J35:J38)</f>
        <v>0</v>
      </c>
      <c r="K34" s="178">
        <f t="shared" ref="K34:K37" si="7">SUM(K35:K38)</f>
        <v>0</v>
      </c>
      <c r="L34" s="178">
        <f t="shared" ref="L34:L37" si="8">SUM(L35:L38)</f>
        <v>0</v>
      </c>
      <c r="M34" s="178">
        <f>SUM(M35:M38)</f>
        <v>69542225.150000006</v>
      </c>
      <c r="N34" s="178">
        <f>SUM(N35:N38)</f>
        <v>69542225.150000006</v>
      </c>
    </row>
    <row r="35" spans="1:14" s="40" customFormat="1" ht="22.5" customHeight="1" x14ac:dyDescent="0.25">
      <c r="A35" s="179"/>
      <c r="B35" s="177" t="s">
        <v>879</v>
      </c>
      <c r="C35" s="178">
        <f>'Таблица 1'!I420</f>
        <v>32944.700000000004</v>
      </c>
      <c r="D35" s="176">
        <f>'Таблица 1'!L420</f>
        <v>1289</v>
      </c>
      <c r="E35" s="176">
        <f t="shared" si="3"/>
        <v>0</v>
      </c>
      <c r="F35" s="176">
        <f t="shared" si="4"/>
        <v>0</v>
      </c>
      <c r="G35" s="176">
        <f t="shared" si="5"/>
        <v>0</v>
      </c>
      <c r="H35" s="176">
        <v>17</v>
      </c>
      <c r="I35" s="176">
        <f t="shared" ref="I35:I38" si="9">H35</f>
        <v>17</v>
      </c>
      <c r="J35" s="178">
        <f t="shared" si="6"/>
        <v>0</v>
      </c>
      <c r="K35" s="178">
        <f t="shared" si="7"/>
        <v>0</v>
      </c>
      <c r="L35" s="178">
        <f t="shared" si="8"/>
        <v>0</v>
      </c>
      <c r="M35" s="178">
        <f>'Таблица 1'!M420</f>
        <v>21333310.550000004</v>
      </c>
      <c r="N35" s="178">
        <f t="shared" ref="N35:N38" si="10">M35</f>
        <v>21333310.550000004</v>
      </c>
    </row>
    <row r="36" spans="1:14" s="40" customFormat="1" ht="22.5" customHeight="1" x14ac:dyDescent="0.25">
      <c r="A36" s="179"/>
      <c r="B36" s="177" t="s">
        <v>880</v>
      </c>
      <c r="C36" s="178">
        <f>'Таблица 1'!I438</f>
        <v>23170.7</v>
      </c>
      <c r="D36" s="176">
        <f>'Таблица 1'!L438</f>
        <v>905</v>
      </c>
      <c r="E36" s="176">
        <f t="shared" si="3"/>
        <v>0</v>
      </c>
      <c r="F36" s="176">
        <f t="shared" si="4"/>
        <v>0</v>
      </c>
      <c r="G36" s="176">
        <f t="shared" si="5"/>
        <v>0</v>
      </c>
      <c r="H36" s="176">
        <v>17</v>
      </c>
      <c r="I36" s="176">
        <f t="shared" si="9"/>
        <v>17</v>
      </c>
      <c r="J36" s="178">
        <f t="shared" si="6"/>
        <v>0</v>
      </c>
      <c r="K36" s="178">
        <f t="shared" si="7"/>
        <v>0</v>
      </c>
      <c r="L36" s="178">
        <f t="shared" si="8"/>
        <v>0</v>
      </c>
      <c r="M36" s="178">
        <f>'Таблица 1'!M438</f>
        <v>39254210.200000003</v>
      </c>
      <c r="N36" s="178">
        <f t="shared" si="10"/>
        <v>39254210.200000003</v>
      </c>
    </row>
    <row r="37" spans="1:14" s="40" customFormat="1" ht="22.5" customHeight="1" x14ac:dyDescent="0.25">
      <c r="A37" s="179"/>
      <c r="B37" s="177" t="s">
        <v>881</v>
      </c>
      <c r="C37" s="178">
        <f>'Таблица 1'!I456</f>
        <v>1529.26</v>
      </c>
      <c r="D37" s="176">
        <f>'Таблица 1'!L456</f>
        <v>72</v>
      </c>
      <c r="E37" s="176">
        <f t="shared" si="3"/>
        <v>0</v>
      </c>
      <c r="F37" s="176">
        <f t="shared" si="4"/>
        <v>0</v>
      </c>
      <c r="G37" s="176">
        <f t="shared" si="5"/>
        <v>0</v>
      </c>
      <c r="H37" s="176">
        <v>2</v>
      </c>
      <c r="I37" s="176">
        <f t="shared" si="9"/>
        <v>2</v>
      </c>
      <c r="J37" s="178">
        <f t="shared" si="6"/>
        <v>0</v>
      </c>
      <c r="K37" s="178">
        <f t="shared" si="7"/>
        <v>0</v>
      </c>
      <c r="L37" s="178">
        <f t="shared" si="8"/>
        <v>0</v>
      </c>
      <c r="M37" s="178">
        <f>'Таблица 1'!M456</f>
        <v>5523218.6899999995</v>
      </c>
      <c r="N37" s="178">
        <f t="shared" si="10"/>
        <v>5523218.6899999995</v>
      </c>
    </row>
    <row r="38" spans="1:14" s="40" customFormat="1" ht="22.5" customHeight="1" x14ac:dyDescent="0.25">
      <c r="A38" s="179"/>
      <c r="B38" s="177" t="s">
        <v>882</v>
      </c>
      <c r="C38" s="178">
        <f>'Таблица 1'!I460</f>
        <v>2057</v>
      </c>
      <c r="D38" s="176">
        <f>'Таблица 1'!L460</f>
        <v>55</v>
      </c>
      <c r="E38" s="176">
        <f>SUM(E39:E41)</f>
        <v>0</v>
      </c>
      <c r="F38" s="176">
        <f>SUM(F39:F41)</f>
        <v>0</v>
      </c>
      <c r="G38" s="176">
        <f>SUM(G39:G41)</f>
        <v>0</v>
      </c>
      <c r="H38" s="176">
        <v>2</v>
      </c>
      <c r="I38" s="176">
        <f t="shared" si="9"/>
        <v>2</v>
      </c>
      <c r="J38" s="178">
        <f>SUM(J39:J41)</f>
        <v>0</v>
      </c>
      <c r="K38" s="178">
        <f>SUM(K39:K41)</f>
        <v>0</v>
      </c>
      <c r="L38" s="178">
        <f>SUM(L39:L41)</f>
        <v>0</v>
      </c>
      <c r="M38" s="178">
        <f>'Таблица 1'!M460</f>
        <v>3431485.71</v>
      </c>
      <c r="N38" s="178">
        <f t="shared" si="10"/>
        <v>3431485.71</v>
      </c>
    </row>
    <row r="39" spans="1:14" s="182" customFormat="1" ht="21" customHeight="1" x14ac:dyDescent="0.25">
      <c r="A39" s="183"/>
      <c r="B39" s="165" t="s">
        <v>883</v>
      </c>
      <c r="C39" s="184"/>
      <c r="D39" s="185"/>
      <c r="E39" s="185"/>
      <c r="F39" s="185"/>
      <c r="G39" s="185"/>
      <c r="H39" s="185"/>
      <c r="I39" s="185"/>
      <c r="J39" s="184"/>
      <c r="K39" s="184"/>
      <c r="L39" s="184"/>
      <c r="M39" s="184"/>
      <c r="N39" s="184"/>
    </row>
    <row r="40" spans="1:14" s="186" customFormat="1" ht="24.75" customHeight="1" x14ac:dyDescent="0.25">
      <c r="A40" s="187"/>
      <c r="B40" s="188" t="s">
        <v>752</v>
      </c>
      <c r="C40" s="189">
        <f t="shared" ref="C40:N40" si="11">SUM(C41:C66)</f>
        <v>1031990.2799999998</v>
      </c>
      <c r="D40" s="190">
        <f t="shared" si="11"/>
        <v>29899</v>
      </c>
      <c r="E40" s="190">
        <f t="shared" si="11"/>
        <v>0</v>
      </c>
      <c r="F40" s="190">
        <f t="shared" si="11"/>
        <v>0</v>
      </c>
      <c r="G40" s="190">
        <f t="shared" si="11"/>
        <v>0</v>
      </c>
      <c r="H40" s="190">
        <f t="shared" si="11"/>
        <v>331</v>
      </c>
      <c r="I40" s="190">
        <f t="shared" si="11"/>
        <v>331</v>
      </c>
      <c r="J40" s="189">
        <f t="shared" si="11"/>
        <v>0</v>
      </c>
      <c r="K40" s="189">
        <f t="shared" si="11"/>
        <v>0</v>
      </c>
      <c r="L40" s="189">
        <f t="shared" si="11"/>
        <v>0</v>
      </c>
      <c r="M40" s="189">
        <f t="shared" si="11"/>
        <v>3217490971.4470401</v>
      </c>
      <c r="N40" s="189">
        <f t="shared" si="11"/>
        <v>3217490971.4470401</v>
      </c>
    </row>
    <row r="41" spans="1:14" s="145" customFormat="1" ht="22.5" customHeight="1" x14ac:dyDescent="0.25">
      <c r="A41" s="172">
        <v>1</v>
      </c>
      <c r="B41" s="173" t="s">
        <v>854</v>
      </c>
      <c r="C41" s="174">
        <f>'Таблица 1'!I465</f>
        <v>696978.03999999992</v>
      </c>
      <c r="D41" s="175">
        <f>'Таблица 1'!L465</f>
        <v>19926</v>
      </c>
      <c r="E41" s="175">
        <v>0</v>
      </c>
      <c r="F41" s="175">
        <v>0</v>
      </c>
      <c r="G41" s="175">
        <v>0</v>
      </c>
      <c r="H41" s="175">
        <v>171</v>
      </c>
      <c r="I41" s="175">
        <f t="shared" ref="I41:I66" si="12">H41</f>
        <v>171</v>
      </c>
      <c r="J41" s="174">
        <v>0</v>
      </c>
      <c r="K41" s="174">
        <v>0</v>
      </c>
      <c r="L41" s="174">
        <v>0</v>
      </c>
      <c r="M41" s="174">
        <f>'Таблица 1'!M465</f>
        <v>2011567326.3200004</v>
      </c>
      <c r="N41" s="174">
        <f t="shared" ref="N41:N66" si="13">M41</f>
        <v>2011567326.3200004</v>
      </c>
    </row>
    <row r="42" spans="1:14" s="145" customFormat="1" ht="22.5" customHeight="1" x14ac:dyDescent="0.25">
      <c r="A42" s="172">
        <v>2</v>
      </c>
      <c r="B42" s="173" t="s">
        <v>855</v>
      </c>
      <c r="C42" s="191">
        <f>'Таблица 1'!I637</f>
        <v>1106.2</v>
      </c>
      <c r="D42" s="175">
        <f>'Таблица 1'!L637</f>
        <v>33</v>
      </c>
      <c r="E42" s="192">
        <v>0</v>
      </c>
      <c r="F42" s="175">
        <v>0</v>
      </c>
      <c r="G42" s="192">
        <v>0</v>
      </c>
      <c r="H42" s="175">
        <v>1</v>
      </c>
      <c r="I42" s="192">
        <f t="shared" si="12"/>
        <v>1</v>
      </c>
      <c r="J42" s="174">
        <v>0</v>
      </c>
      <c r="K42" s="191">
        <v>0</v>
      </c>
      <c r="L42" s="174">
        <v>0</v>
      </c>
      <c r="M42" s="191">
        <f>'Таблица 1'!M637</f>
        <v>4801450.8500000006</v>
      </c>
      <c r="N42" s="174">
        <f t="shared" si="13"/>
        <v>4801450.8500000006</v>
      </c>
    </row>
    <row r="43" spans="1:14" s="145" customFormat="1" ht="22.5" customHeight="1" x14ac:dyDescent="0.25">
      <c r="A43" s="172">
        <v>3</v>
      </c>
      <c r="B43" s="173" t="s">
        <v>856</v>
      </c>
      <c r="C43" s="174">
        <f>'Таблица 1'!I639</f>
        <v>11786</v>
      </c>
      <c r="D43" s="175">
        <f>'Таблица 1'!L639</f>
        <v>417</v>
      </c>
      <c r="E43" s="175">
        <v>0</v>
      </c>
      <c r="F43" s="175">
        <v>0</v>
      </c>
      <c r="G43" s="175">
        <v>0</v>
      </c>
      <c r="H43" s="175">
        <v>3</v>
      </c>
      <c r="I43" s="175">
        <f t="shared" si="12"/>
        <v>3</v>
      </c>
      <c r="J43" s="174">
        <v>0</v>
      </c>
      <c r="K43" s="174">
        <v>0</v>
      </c>
      <c r="L43" s="174">
        <v>0</v>
      </c>
      <c r="M43" s="174">
        <f>'Таблица 1'!M639</f>
        <v>26413494.32</v>
      </c>
      <c r="N43" s="174">
        <f t="shared" si="13"/>
        <v>26413494.32</v>
      </c>
    </row>
    <row r="44" spans="1:14" s="145" customFormat="1" ht="22.5" customHeight="1" x14ac:dyDescent="0.25">
      <c r="A44" s="172">
        <v>4</v>
      </c>
      <c r="B44" s="173" t="s">
        <v>857</v>
      </c>
      <c r="C44" s="174">
        <f>'Таблица 1'!I643</f>
        <v>8795.7799999999988</v>
      </c>
      <c r="D44" s="175">
        <f>'Таблица 1'!L643</f>
        <v>305</v>
      </c>
      <c r="E44" s="175">
        <v>0</v>
      </c>
      <c r="F44" s="175">
        <v>0</v>
      </c>
      <c r="G44" s="175">
        <v>0</v>
      </c>
      <c r="H44" s="175">
        <v>8</v>
      </c>
      <c r="I44" s="175">
        <f t="shared" si="12"/>
        <v>8</v>
      </c>
      <c r="J44" s="174">
        <v>0</v>
      </c>
      <c r="K44" s="174">
        <v>0</v>
      </c>
      <c r="L44" s="174">
        <v>0</v>
      </c>
      <c r="M44" s="174">
        <f>'Таблица 1'!M643</f>
        <v>32293446.030000001</v>
      </c>
      <c r="N44" s="174">
        <f t="shared" si="13"/>
        <v>32293446.030000001</v>
      </c>
    </row>
    <row r="45" spans="1:14" s="145" customFormat="1" ht="25.9" customHeight="1" x14ac:dyDescent="0.25">
      <c r="A45" s="172">
        <v>5</v>
      </c>
      <c r="B45" s="173" t="s">
        <v>884</v>
      </c>
      <c r="C45" s="174">
        <f>'Таблица 1'!I652</f>
        <v>19037.800000000003</v>
      </c>
      <c r="D45" s="175">
        <f>'Таблица 1'!L652</f>
        <v>616</v>
      </c>
      <c r="E45" s="175">
        <v>0</v>
      </c>
      <c r="F45" s="175">
        <v>0</v>
      </c>
      <c r="G45" s="175">
        <v>0</v>
      </c>
      <c r="H45" s="175">
        <v>9</v>
      </c>
      <c r="I45" s="175">
        <f t="shared" si="12"/>
        <v>9</v>
      </c>
      <c r="J45" s="174">
        <v>0</v>
      </c>
      <c r="K45" s="174">
        <v>0</v>
      </c>
      <c r="L45" s="174">
        <v>0</v>
      </c>
      <c r="M45" s="174">
        <f>'Таблица 1'!M652</f>
        <v>21549705.399999999</v>
      </c>
      <c r="N45" s="174">
        <f t="shared" si="13"/>
        <v>21549705.399999999</v>
      </c>
    </row>
    <row r="46" spans="1:14" s="145" customFormat="1" ht="22.5" customHeight="1" x14ac:dyDescent="0.25">
      <c r="A46" s="172">
        <v>6</v>
      </c>
      <c r="B46" s="173" t="s">
        <v>859</v>
      </c>
      <c r="C46" s="174">
        <f>'Таблица 1'!I662</f>
        <v>4083.1</v>
      </c>
      <c r="D46" s="175">
        <f>'Таблица 1'!L662</f>
        <v>138</v>
      </c>
      <c r="E46" s="175">
        <v>0</v>
      </c>
      <c r="F46" s="175">
        <v>0</v>
      </c>
      <c r="G46" s="175">
        <v>0</v>
      </c>
      <c r="H46" s="175">
        <v>4</v>
      </c>
      <c r="I46" s="175">
        <f t="shared" si="12"/>
        <v>4</v>
      </c>
      <c r="J46" s="174">
        <v>0</v>
      </c>
      <c r="K46" s="174">
        <v>0</v>
      </c>
      <c r="L46" s="174">
        <v>0</v>
      </c>
      <c r="M46" s="174">
        <f>'Таблица 1'!M662</f>
        <v>24627490.689999998</v>
      </c>
      <c r="N46" s="174">
        <f t="shared" si="13"/>
        <v>24627490.689999998</v>
      </c>
    </row>
    <row r="47" spans="1:14" s="145" customFormat="1" ht="22.5" customHeight="1" x14ac:dyDescent="0.25">
      <c r="A47" s="172">
        <v>7</v>
      </c>
      <c r="B47" s="173" t="s">
        <v>860</v>
      </c>
      <c r="C47" s="174">
        <f>'Таблица 1'!I667</f>
        <v>16337.7</v>
      </c>
      <c r="D47" s="175">
        <f>'Таблица 1'!L667</f>
        <v>464</v>
      </c>
      <c r="E47" s="175">
        <v>0</v>
      </c>
      <c r="F47" s="175">
        <v>0</v>
      </c>
      <c r="G47" s="175">
        <v>0</v>
      </c>
      <c r="H47" s="175">
        <v>6</v>
      </c>
      <c r="I47" s="175">
        <f t="shared" si="12"/>
        <v>6</v>
      </c>
      <c r="J47" s="174">
        <v>0</v>
      </c>
      <c r="K47" s="174">
        <v>0</v>
      </c>
      <c r="L47" s="174">
        <v>0</v>
      </c>
      <c r="M47" s="174">
        <f>'Таблица 1'!M667</f>
        <v>49733577.299999997</v>
      </c>
      <c r="N47" s="174">
        <f t="shared" si="13"/>
        <v>49733577.299999997</v>
      </c>
    </row>
    <row r="48" spans="1:14" s="145" customFormat="1" ht="22.5" customHeight="1" x14ac:dyDescent="0.25">
      <c r="A48" s="172">
        <v>8</v>
      </c>
      <c r="B48" s="173" t="s">
        <v>861</v>
      </c>
      <c r="C48" s="174">
        <f>'Таблица 1'!I674</f>
        <v>4592.7999999999993</v>
      </c>
      <c r="D48" s="175">
        <f>'Таблица 1'!L674</f>
        <v>142</v>
      </c>
      <c r="E48" s="175">
        <v>0</v>
      </c>
      <c r="F48" s="175">
        <v>0</v>
      </c>
      <c r="G48" s="175">
        <v>0</v>
      </c>
      <c r="H48" s="175">
        <v>3</v>
      </c>
      <c r="I48" s="175">
        <f t="shared" si="12"/>
        <v>3</v>
      </c>
      <c r="J48" s="174">
        <v>0</v>
      </c>
      <c r="K48" s="174">
        <v>0</v>
      </c>
      <c r="L48" s="174">
        <v>0</v>
      </c>
      <c r="M48" s="174">
        <f>'Таблица 1'!M674</f>
        <v>15570337.899999999</v>
      </c>
      <c r="N48" s="174">
        <f t="shared" si="13"/>
        <v>15570337.899999999</v>
      </c>
    </row>
    <row r="49" spans="1:15" s="145" customFormat="1" ht="22.5" customHeight="1" x14ac:dyDescent="0.25">
      <c r="A49" s="172">
        <v>9</v>
      </c>
      <c r="B49" s="173" t="s">
        <v>885</v>
      </c>
      <c r="C49" s="174">
        <f>'Таблица 1'!I678</f>
        <v>1148.3</v>
      </c>
      <c r="D49" s="175">
        <f>'Таблица 1'!L678</f>
        <v>60</v>
      </c>
      <c r="E49" s="175">
        <v>0</v>
      </c>
      <c r="F49" s="175">
        <v>0</v>
      </c>
      <c r="G49" s="175">
        <v>0</v>
      </c>
      <c r="H49" s="175">
        <v>2</v>
      </c>
      <c r="I49" s="175">
        <f t="shared" si="12"/>
        <v>2</v>
      </c>
      <c r="J49" s="174">
        <v>0</v>
      </c>
      <c r="K49" s="174">
        <v>0</v>
      </c>
      <c r="L49" s="174">
        <v>0</v>
      </c>
      <c r="M49" s="174">
        <f>'Таблица 1'!M678</f>
        <v>1522073.68</v>
      </c>
      <c r="N49" s="174">
        <f t="shared" si="13"/>
        <v>1522073.68</v>
      </c>
    </row>
    <row r="50" spans="1:15" s="145" customFormat="1" ht="22.5" customHeight="1" x14ac:dyDescent="0.25">
      <c r="A50" s="172">
        <v>10</v>
      </c>
      <c r="B50" s="173" t="s">
        <v>862</v>
      </c>
      <c r="C50" s="174">
        <f>'Таблица 1'!I681</f>
        <v>45650.28</v>
      </c>
      <c r="D50" s="175">
        <f>'Таблица 1'!L681</f>
        <v>1185</v>
      </c>
      <c r="E50" s="175">
        <v>0</v>
      </c>
      <c r="F50" s="175">
        <v>0</v>
      </c>
      <c r="G50" s="175">
        <v>0</v>
      </c>
      <c r="H50" s="175">
        <v>15</v>
      </c>
      <c r="I50" s="175">
        <f t="shared" si="12"/>
        <v>15</v>
      </c>
      <c r="J50" s="174">
        <v>0</v>
      </c>
      <c r="K50" s="174">
        <v>0</v>
      </c>
      <c r="L50" s="174">
        <v>0</v>
      </c>
      <c r="M50" s="174">
        <f>'Таблица 1'!M681</f>
        <v>144194620.63999999</v>
      </c>
      <c r="N50" s="174">
        <f t="shared" si="13"/>
        <v>144194620.63999999</v>
      </c>
    </row>
    <row r="51" spans="1:15" s="145" customFormat="1" ht="22.5" customHeight="1" x14ac:dyDescent="0.25">
      <c r="A51" s="172">
        <v>11</v>
      </c>
      <c r="B51" s="173" t="s">
        <v>863</v>
      </c>
      <c r="C51" s="174">
        <f>'Таблица 1'!I697</f>
        <v>8941.380000000001</v>
      </c>
      <c r="D51" s="175">
        <f>'Таблица 1'!L697</f>
        <v>377</v>
      </c>
      <c r="E51" s="175">
        <v>0</v>
      </c>
      <c r="F51" s="175">
        <v>0</v>
      </c>
      <c r="G51" s="175">
        <v>0</v>
      </c>
      <c r="H51" s="176">
        <v>3</v>
      </c>
      <c r="I51" s="175">
        <f t="shared" si="12"/>
        <v>3</v>
      </c>
      <c r="J51" s="174">
        <v>0</v>
      </c>
      <c r="K51" s="174">
        <v>0</v>
      </c>
      <c r="L51" s="174">
        <v>0</v>
      </c>
      <c r="M51" s="174">
        <f>'Таблица 1'!M697</f>
        <v>14479098.100000001</v>
      </c>
      <c r="N51" s="174">
        <f t="shared" si="13"/>
        <v>14479098.100000001</v>
      </c>
    </row>
    <row r="52" spans="1:15" s="145" customFormat="1" ht="22.5" customHeight="1" x14ac:dyDescent="0.25">
      <c r="A52" s="172">
        <v>12</v>
      </c>
      <c r="B52" s="173" t="s">
        <v>864</v>
      </c>
      <c r="C52" s="174">
        <f>'Таблица 1'!I701</f>
        <v>404.35</v>
      </c>
      <c r="D52" s="175">
        <f>'Таблица 1'!L701</f>
        <v>21</v>
      </c>
      <c r="E52" s="175">
        <v>0</v>
      </c>
      <c r="F52" s="175">
        <v>0</v>
      </c>
      <c r="G52" s="175">
        <v>0</v>
      </c>
      <c r="H52" s="176">
        <v>1</v>
      </c>
      <c r="I52" s="175">
        <f t="shared" si="12"/>
        <v>1</v>
      </c>
      <c r="J52" s="174">
        <v>0</v>
      </c>
      <c r="K52" s="174">
        <v>0</v>
      </c>
      <c r="L52" s="174">
        <v>0</v>
      </c>
      <c r="M52" s="174">
        <f>'Таблица 1'!M701</f>
        <v>265594</v>
      </c>
      <c r="N52" s="174">
        <f t="shared" si="13"/>
        <v>265594</v>
      </c>
    </row>
    <row r="53" spans="1:15" s="145" customFormat="1" ht="22.5" customHeight="1" x14ac:dyDescent="0.25">
      <c r="A53" s="172">
        <v>13</v>
      </c>
      <c r="B53" s="173" t="s">
        <v>866</v>
      </c>
      <c r="C53" s="191">
        <f>'Таблица 1'!I703</f>
        <v>6046</v>
      </c>
      <c r="D53" s="175">
        <f>'Таблица 1'!L703</f>
        <v>50</v>
      </c>
      <c r="E53" s="192">
        <v>0</v>
      </c>
      <c r="F53" s="175">
        <v>0</v>
      </c>
      <c r="G53" s="192">
        <v>0</v>
      </c>
      <c r="H53" s="175">
        <v>2</v>
      </c>
      <c r="I53" s="192">
        <f t="shared" si="12"/>
        <v>2</v>
      </c>
      <c r="J53" s="174">
        <v>0</v>
      </c>
      <c r="K53" s="191">
        <v>0</v>
      </c>
      <c r="L53" s="174">
        <v>0</v>
      </c>
      <c r="M53" s="191">
        <f>'Таблица 1'!M703</f>
        <v>15146125.710000001</v>
      </c>
      <c r="N53" s="174">
        <f t="shared" si="13"/>
        <v>15146125.710000001</v>
      </c>
    </row>
    <row r="54" spans="1:15" s="145" customFormat="1" ht="22.5" customHeight="1" x14ac:dyDescent="0.25">
      <c r="A54" s="172">
        <v>14</v>
      </c>
      <c r="B54" s="173" t="s">
        <v>867</v>
      </c>
      <c r="C54" s="174">
        <f>'Таблица 1'!I706</f>
        <v>2925.3</v>
      </c>
      <c r="D54" s="175">
        <f>'Таблица 1'!L706</f>
        <v>126</v>
      </c>
      <c r="E54" s="175">
        <v>0</v>
      </c>
      <c r="F54" s="175">
        <v>0</v>
      </c>
      <c r="G54" s="175">
        <v>0</v>
      </c>
      <c r="H54" s="175">
        <v>2</v>
      </c>
      <c r="I54" s="175">
        <f t="shared" si="12"/>
        <v>2</v>
      </c>
      <c r="J54" s="174">
        <v>0</v>
      </c>
      <c r="K54" s="174">
        <v>0</v>
      </c>
      <c r="L54" s="174">
        <v>0</v>
      </c>
      <c r="M54" s="174">
        <f>'Таблица 1'!M706</f>
        <v>18966693.939999998</v>
      </c>
      <c r="N54" s="174">
        <f t="shared" si="13"/>
        <v>18966693.939999998</v>
      </c>
    </row>
    <row r="55" spans="1:15" s="145" customFormat="1" ht="24" customHeight="1" x14ac:dyDescent="0.25">
      <c r="A55" s="172">
        <v>15</v>
      </c>
      <c r="B55" s="173" t="s">
        <v>886</v>
      </c>
      <c r="C55" s="174">
        <f>'Таблица 1'!I709</f>
        <v>20425.71</v>
      </c>
      <c r="D55" s="175">
        <f>'Таблица 1'!L709</f>
        <v>732</v>
      </c>
      <c r="E55" s="175">
        <v>0</v>
      </c>
      <c r="F55" s="175">
        <v>0</v>
      </c>
      <c r="G55" s="175">
        <v>0</v>
      </c>
      <c r="H55" s="175">
        <v>7</v>
      </c>
      <c r="I55" s="175">
        <f t="shared" si="12"/>
        <v>7</v>
      </c>
      <c r="J55" s="174">
        <v>0</v>
      </c>
      <c r="K55" s="174">
        <v>0</v>
      </c>
      <c r="L55" s="174">
        <v>0</v>
      </c>
      <c r="M55" s="174">
        <f>'Таблица 1'!M709</f>
        <v>69476166.739999995</v>
      </c>
      <c r="N55" s="174">
        <f t="shared" si="13"/>
        <v>69476166.739999995</v>
      </c>
    </row>
    <row r="56" spans="1:15" s="145" customFormat="1" ht="22.5" customHeight="1" x14ac:dyDescent="0.25">
      <c r="A56" s="172">
        <v>16</v>
      </c>
      <c r="B56" s="173" t="s">
        <v>869</v>
      </c>
      <c r="C56" s="174">
        <f>'Таблица 1'!I717</f>
        <v>67707.860000000015</v>
      </c>
      <c r="D56" s="175">
        <f>'Таблица 1'!L717</f>
        <v>2032</v>
      </c>
      <c r="E56" s="175">
        <v>0</v>
      </c>
      <c r="F56" s="175">
        <v>0</v>
      </c>
      <c r="G56" s="175">
        <v>0</v>
      </c>
      <c r="H56" s="175">
        <v>23</v>
      </c>
      <c r="I56" s="175">
        <f t="shared" si="12"/>
        <v>23</v>
      </c>
      <c r="J56" s="174">
        <v>0</v>
      </c>
      <c r="K56" s="174">
        <v>0</v>
      </c>
      <c r="L56" s="174">
        <v>0</v>
      </c>
      <c r="M56" s="174">
        <f>'Таблица 1'!M717</f>
        <v>303435228.97999996</v>
      </c>
      <c r="N56" s="174">
        <f t="shared" si="13"/>
        <v>303435228.97999996</v>
      </c>
    </row>
    <row r="57" spans="1:15" s="145" customFormat="1" ht="22.5" customHeight="1" x14ac:dyDescent="0.25">
      <c r="A57" s="172">
        <v>17</v>
      </c>
      <c r="B57" s="173" t="s">
        <v>870</v>
      </c>
      <c r="C57" s="191">
        <f>'Таблица 1'!I741</f>
        <v>14114.2</v>
      </c>
      <c r="D57" s="175">
        <f>'Таблица 1'!L741</f>
        <v>317</v>
      </c>
      <c r="E57" s="192">
        <v>0</v>
      </c>
      <c r="F57" s="175">
        <v>0</v>
      </c>
      <c r="G57" s="192">
        <v>0</v>
      </c>
      <c r="H57" s="175">
        <v>6</v>
      </c>
      <c r="I57" s="192">
        <f t="shared" si="12"/>
        <v>6</v>
      </c>
      <c r="J57" s="174">
        <v>0</v>
      </c>
      <c r="K57" s="191">
        <v>0</v>
      </c>
      <c r="L57" s="174">
        <v>0</v>
      </c>
      <c r="M57" s="191">
        <f>'Таблица 1'!M741</f>
        <v>35065782.097039998</v>
      </c>
      <c r="N57" s="174">
        <f t="shared" si="13"/>
        <v>35065782.097039998</v>
      </c>
    </row>
    <row r="58" spans="1:15" s="145" customFormat="1" ht="22.5" customHeight="1" x14ac:dyDescent="0.25">
      <c r="A58" s="172">
        <v>18</v>
      </c>
      <c r="B58" s="173" t="s">
        <v>871</v>
      </c>
      <c r="C58" s="174">
        <f>'Таблица 1'!I748</f>
        <v>6651.7900000000009</v>
      </c>
      <c r="D58" s="175">
        <f>'Таблица 1'!L748</f>
        <v>184</v>
      </c>
      <c r="E58" s="175">
        <v>0</v>
      </c>
      <c r="F58" s="175">
        <v>0</v>
      </c>
      <c r="G58" s="175">
        <v>0</v>
      </c>
      <c r="H58" s="175">
        <v>8</v>
      </c>
      <c r="I58" s="175">
        <f t="shared" si="12"/>
        <v>8</v>
      </c>
      <c r="J58" s="174">
        <v>0</v>
      </c>
      <c r="K58" s="174">
        <v>0</v>
      </c>
      <c r="L58" s="174">
        <v>0</v>
      </c>
      <c r="M58" s="174">
        <f>'Таблица 1'!M748</f>
        <v>32736579.219999999</v>
      </c>
      <c r="N58" s="174">
        <f t="shared" si="13"/>
        <v>32736579.219999999</v>
      </c>
    </row>
    <row r="59" spans="1:15" s="145" customFormat="1" ht="22.5" customHeight="1" x14ac:dyDescent="0.25">
      <c r="A59" s="172">
        <v>19</v>
      </c>
      <c r="B59" s="173" t="s">
        <v>872</v>
      </c>
      <c r="C59" s="193">
        <f>'Таблица 1'!I757</f>
        <v>3126.6</v>
      </c>
      <c r="D59" s="194">
        <f>'Таблица 1'!L757</f>
        <v>91</v>
      </c>
      <c r="E59" s="194">
        <v>0</v>
      </c>
      <c r="F59" s="194">
        <v>0</v>
      </c>
      <c r="G59" s="194">
        <v>0</v>
      </c>
      <c r="H59" s="194">
        <v>4</v>
      </c>
      <c r="I59" s="194">
        <f t="shared" si="12"/>
        <v>4</v>
      </c>
      <c r="J59" s="193">
        <v>0</v>
      </c>
      <c r="K59" s="193">
        <v>0</v>
      </c>
      <c r="L59" s="193">
        <v>0</v>
      </c>
      <c r="M59" s="193">
        <f>'Таблица 1'!M757</f>
        <v>7923893.6899999995</v>
      </c>
      <c r="N59" s="193">
        <f t="shared" si="13"/>
        <v>7923893.6899999995</v>
      </c>
    </row>
    <row r="60" spans="1:15" s="145" customFormat="1" ht="22.5" customHeight="1" x14ac:dyDescent="0.25">
      <c r="A60" s="172">
        <v>20</v>
      </c>
      <c r="B60" s="195" t="s">
        <v>873</v>
      </c>
      <c r="C60" s="196">
        <f>'Таблица 1'!I762</f>
        <v>3132.6099999999997</v>
      </c>
      <c r="D60" s="197">
        <f>'Таблица 1'!L762</f>
        <v>126</v>
      </c>
      <c r="E60" s="197">
        <v>0</v>
      </c>
      <c r="F60" s="197">
        <v>0</v>
      </c>
      <c r="G60" s="197">
        <v>0</v>
      </c>
      <c r="H60" s="197">
        <v>2</v>
      </c>
      <c r="I60" s="197">
        <f t="shared" si="12"/>
        <v>2</v>
      </c>
      <c r="J60" s="196">
        <v>0</v>
      </c>
      <c r="K60" s="196">
        <v>0</v>
      </c>
      <c r="L60" s="196">
        <v>0</v>
      </c>
      <c r="M60" s="196">
        <f>'Таблица 1'!M762</f>
        <v>13882208.83</v>
      </c>
      <c r="N60" s="196">
        <f t="shared" si="13"/>
        <v>13882208.83</v>
      </c>
    </row>
    <row r="61" spans="1:15" s="145" customFormat="1" ht="22.5" customHeight="1" x14ac:dyDescent="0.25">
      <c r="A61" s="172">
        <v>21</v>
      </c>
      <c r="B61" s="177" t="s">
        <v>874</v>
      </c>
      <c r="C61" s="178">
        <f>'Таблица 1'!I765</f>
        <v>1741.1</v>
      </c>
      <c r="D61" s="176">
        <f>'Таблица 1'!L765</f>
        <v>39</v>
      </c>
      <c r="E61" s="176">
        <v>0</v>
      </c>
      <c r="F61" s="176">
        <v>0</v>
      </c>
      <c r="G61" s="176">
        <v>0</v>
      </c>
      <c r="H61" s="176">
        <v>1</v>
      </c>
      <c r="I61" s="176">
        <f t="shared" si="12"/>
        <v>1</v>
      </c>
      <c r="J61" s="178">
        <v>0</v>
      </c>
      <c r="K61" s="178">
        <v>0</v>
      </c>
      <c r="L61" s="178">
        <v>0</v>
      </c>
      <c r="M61" s="178">
        <f>'Таблица 1'!M765</f>
        <v>14216901.33</v>
      </c>
      <c r="N61" s="178">
        <f t="shared" si="13"/>
        <v>14216901.33</v>
      </c>
      <c r="O61" s="40"/>
    </row>
    <row r="62" spans="1:15" s="145" customFormat="1" ht="22.5" customHeight="1" x14ac:dyDescent="0.25">
      <c r="A62" s="172">
        <v>22</v>
      </c>
      <c r="B62" s="195" t="s">
        <v>875</v>
      </c>
      <c r="C62" s="198">
        <f>'Таблица 1'!I767</f>
        <v>10702.9</v>
      </c>
      <c r="D62" s="199">
        <f>'Таблица 1'!L767</f>
        <v>257</v>
      </c>
      <c r="E62" s="199">
        <v>0</v>
      </c>
      <c r="F62" s="199">
        <v>0</v>
      </c>
      <c r="G62" s="199">
        <v>0</v>
      </c>
      <c r="H62" s="199">
        <v>3</v>
      </c>
      <c r="I62" s="199">
        <f t="shared" si="12"/>
        <v>3</v>
      </c>
      <c r="J62" s="198">
        <v>0</v>
      </c>
      <c r="K62" s="198">
        <v>0</v>
      </c>
      <c r="L62" s="198">
        <v>0</v>
      </c>
      <c r="M62" s="198">
        <f>'Таблица 1'!M767</f>
        <v>48332777.939999998</v>
      </c>
      <c r="N62" s="198">
        <f t="shared" si="13"/>
        <v>48332777.939999998</v>
      </c>
    </row>
    <row r="63" spans="1:15" s="145" customFormat="1" ht="22.5" customHeight="1" x14ac:dyDescent="0.25">
      <c r="A63" s="172">
        <v>23</v>
      </c>
      <c r="B63" s="173" t="s">
        <v>876</v>
      </c>
      <c r="C63" s="200">
        <f>'Таблица 1'!I771</f>
        <v>10202.700000000001</v>
      </c>
      <c r="D63" s="201">
        <f>'Таблица 1'!L771</f>
        <v>451</v>
      </c>
      <c r="E63" s="201">
        <v>0</v>
      </c>
      <c r="F63" s="201">
        <v>0</v>
      </c>
      <c r="G63" s="201">
        <v>0</v>
      </c>
      <c r="H63" s="201">
        <v>8</v>
      </c>
      <c r="I63" s="201">
        <f t="shared" si="12"/>
        <v>8</v>
      </c>
      <c r="J63" s="200">
        <v>0</v>
      </c>
      <c r="K63" s="200">
        <v>0</v>
      </c>
      <c r="L63" s="200">
        <v>0</v>
      </c>
      <c r="M63" s="200">
        <f>'Таблица 1'!M771</f>
        <v>64213883.300000004</v>
      </c>
      <c r="N63" s="200">
        <f t="shared" si="13"/>
        <v>64213883.300000004</v>
      </c>
    </row>
    <row r="64" spans="1:15" s="145" customFormat="1" ht="22.5" customHeight="1" x14ac:dyDescent="0.25">
      <c r="A64" s="172">
        <v>24</v>
      </c>
      <c r="B64" s="173" t="s">
        <v>877</v>
      </c>
      <c r="C64" s="174">
        <f>'Таблица 1'!I780</f>
        <v>43090.820000000007</v>
      </c>
      <c r="D64" s="175">
        <f>'Таблица 1'!L780</f>
        <v>805</v>
      </c>
      <c r="E64" s="175">
        <v>0</v>
      </c>
      <c r="F64" s="175">
        <v>0</v>
      </c>
      <c r="G64" s="175">
        <v>0</v>
      </c>
      <c r="H64" s="175">
        <v>18</v>
      </c>
      <c r="I64" s="175">
        <f t="shared" si="12"/>
        <v>18</v>
      </c>
      <c r="J64" s="174">
        <v>0</v>
      </c>
      <c r="K64" s="174">
        <v>0</v>
      </c>
      <c r="L64" s="174">
        <v>0</v>
      </c>
      <c r="M64" s="174">
        <f>'Таблица 1'!M780</f>
        <v>153489370.90000001</v>
      </c>
      <c r="N64" s="174">
        <f t="shared" si="13"/>
        <v>153489370.90000001</v>
      </c>
    </row>
    <row r="65" spans="1:14" s="145" customFormat="1" ht="22.5" customHeight="1" x14ac:dyDescent="0.25">
      <c r="A65" s="172">
        <v>25</v>
      </c>
      <c r="B65" s="173" t="s">
        <v>887</v>
      </c>
      <c r="C65" s="191">
        <f>'Таблица 1'!I799</f>
        <v>1156.4000000000001</v>
      </c>
      <c r="D65" s="175">
        <f>'Таблица 1'!L799</f>
        <v>26</v>
      </c>
      <c r="E65" s="192">
        <v>0</v>
      </c>
      <c r="F65" s="175">
        <v>0</v>
      </c>
      <c r="G65" s="192">
        <v>0</v>
      </c>
      <c r="H65" s="175">
        <v>1</v>
      </c>
      <c r="I65" s="192">
        <f t="shared" si="12"/>
        <v>1</v>
      </c>
      <c r="J65" s="174">
        <v>0</v>
      </c>
      <c r="K65" s="191">
        <v>0</v>
      </c>
      <c r="L65" s="174">
        <v>0</v>
      </c>
      <c r="M65" s="191">
        <f>'Таблица 1'!M799</f>
        <v>7386044.8600000003</v>
      </c>
      <c r="N65" s="174">
        <f t="shared" si="13"/>
        <v>7386044.8600000003</v>
      </c>
    </row>
    <row r="66" spans="1:14" s="145" customFormat="1" ht="24.75" customHeight="1" x14ac:dyDescent="0.25">
      <c r="A66" s="172">
        <v>26</v>
      </c>
      <c r="B66" s="173" t="s">
        <v>888</v>
      </c>
      <c r="C66" s="174">
        <f>'Таблица 1'!I801</f>
        <v>22104.559999999998</v>
      </c>
      <c r="D66" s="175">
        <f>'Таблица 1'!L801</f>
        <v>979</v>
      </c>
      <c r="E66" s="175">
        <v>0</v>
      </c>
      <c r="F66" s="175">
        <v>0</v>
      </c>
      <c r="G66" s="175">
        <v>0</v>
      </c>
      <c r="H66" s="176">
        <v>20</v>
      </c>
      <c r="I66" s="175">
        <f t="shared" si="12"/>
        <v>20</v>
      </c>
      <c r="J66" s="174">
        <v>0</v>
      </c>
      <c r="K66" s="174">
        <v>0</v>
      </c>
      <c r="L66" s="174">
        <v>0</v>
      </c>
      <c r="M66" s="174">
        <f>'Таблица 1'!M801</f>
        <v>86201098.680000022</v>
      </c>
      <c r="N66" s="174">
        <f t="shared" si="13"/>
        <v>86201098.680000022</v>
      </c>
    </row>
    <row r="67" spans="1:14" s="182" customFormat="1" ht="22.5" customHeight="1" x14ac:dyDescent="0.25">
      <c r="A67" s="183"/>
      <c r="B67" s="165" t="s">
        <v>751</v>
      </c>
      <c r="C67" s="184"/>
      <c r="D67" s="185"/>
      <c r="E67" s="185"/>
      <c r="F67" s="185"/>
      <c r="G67" s="185"/>
      <c r="H67" s="185"/>
      <c r="I67" s="185"/>
      <c r="J67" s="184"/>
      <c r="K67" s="184"/>
      <c r="L67" s="184"/>
      <c r="M67" s="184"/>
      <c r="N67" s="184"/>
    </row>
    <row r="68" spans="1:14" s="161" customFormat="1" ht="26.25" customHeight="1" x14ac:dyDescent="0.25">
      <c r="A68" s="202"/>
      <c r="B68" s="203" t="s">
        <v>752</v>
      </c>
      <c r="C68" s="204">
        <f t="shared" ref="C68:N68" si="14">SUM(C69:C87)</f>
        <v>292457.14999999997</v>
      </c>
      <c r="D68" s="205">
        <f t="shared" si="14"/>
        <v>9049</v>
      </c>
      <c r="E68" s="205">
        <f t="shared" si="14"/>
        <v>0</v>
      </c>
      <c r="F68" s="205">
        <f t="shared" si="14"/>
        <v>0</v>
      </c>
      <c r="G68" s="205">
        <f t="shared" si="14"/>
        <v>0</v>
      </c>
      <c r="H68" s="205">
        <f t="shared" si="14"/>
        <v>114</v>
      </c>
      <c r="I68" s="205">
        <f t="shared" si="14"/>
        <v>114</v>
      </c>
      <c r="J68" s="204">
        <f t="shared" si="14"/>
        <v>0</v>
      </c>
      <c r="K68" s="204">
        <f t="shared" si="14"/>
        <v>0</v>
      </c>
      <c r="L68" s="204">
        <f t="shared" si="14"/>
        <v>0</v>
      </c>
      <c r="M68" s="204">
        <f t="shared" si="14"/>
        <v>833790019.1400001</v>
      </c>
      <c r="N68" s="204">
        <f t="shared" si="14"/>
        <v>833790019.1400001</v>
      </c>
    </row>
    <row r="69" spans="1:14" s="145" customFormat="1" ht="22.5" customHeight="1" x14ac:dyDescent="0.25">
      <c r="A69" s="172">
        <v>1</v>
      </c>
      <c r="B69" s="173" t="s">
        <v>854</v>
      </c>
      <c r="C69" s="174">
        <f>'Таблица 1'!I824</f>
        <v>110593.02999999998</v>
      </c>
      <c r="D69" s="175">
        <f>'Таблица 1'!L824</f>
        <v>3615</v>
      </c>
      <c r="E69" s="175">
        <v>0</v>
      </c>
      <c r="F69" s="175">
        <v>0</v>
      </c>
      <c r="G69" s="175">
        <v>0</v>
      </c>
      <c r="H69" s="175">
        <v>29</v>
      </c>
      <c r="I69" s="175">
        <f t="shared" ref="I69:I87" si="15">H69</f>
        <v>29</v>
      </c>
      <c r="J69" s="174">
        <v>0</v>
      </c>
      <c r="K69" s="174">
        <v>0</v>
      </c>
      <c r="L69" s="174">
        <v>0</v>
      </c>
      <c r="M69" s="174">
        <f>'Таблица 1'!M824</f>
        <v>280305800.20000005</v>
      </c>
      <c r="N69" s="174">
        <f t="shared" ref="N69:N87" si="16">M69</f>
        <v>280305800.20000005</v>
      </c>
    </row>
    <row r="70" spans="1:14" s="145" customFormat="1" ht="22.5" customHeight="1" x14ac:dyDescent="0.25">
      <c r="A70" s="172">
        <v>2</v>
      </c>
      <c r="B70" s="173" t="s">
        <v>856</v>
      </c>
      <c r="C70" s="191">
        <f>'Таблица 1'!I854</f>
        <v>774.58</v>
      </c>
      <c r="D70" s="175">
        <f>'Таблица 1'!L854</f>
        <v>34</v>
      </c>
      <c r="E70" s="192">
        <v>0</v>
      </c>
      <c r="F70" s="175">
        <v>0</v>
      </c>
      <c r="G70" s="192">
        <v>0</v>
      </c>
      <c r="H70" s="175">
        <v>1</v>
      </c>
      <c r="I70" s="192">
        <f t="shared" si="15"/>
        <v>1</v>
      </c>
      <c r="J70" s="174">
        <v>0</v>
      </c>
      <c r="K70" s="191">
        <v>0</v>
      </c>
      <c r="L70" s="174">
        <v>0</v>
      </c>
      <c r="M70" s="191">
        <f>'Таблица 1'!M854</f>
        <v>365117.1</v>
      </c>
      <c r="N70" s="174">
        <f t="shared" si="16"/>
        <v>365117.1</v>
      </c>
    </row>
    <row r="71" spans="1:14" s="145" customFormat="1" ht="22.5" customHeight="1" x14ac:dyDescent="0.25">
      <c r="A71" s="172">
        <v>3</v>
      </c>
      <c r="B71" s="173" t="s">
        <v>857</v>
      </c>
      <c r="C71" s="174">
        <f>'Таблица 1'!I856</f>
        <v>1570.86</v>
      </c>
      <c r="D71" s="175">
        <f>'Таблица 1'!L856</f>
        <v>58</v>
      </c>
      <c r="E71" s="175">
        <v>0</v>
      </c>
      <c r="F71" s="175">
        <v>0</v>
      </c>
      <c r="G71" s="175">
        <v>0</v>
      </c>
      <c r="H71" s="175">
        <v>1</v>
      </c>
      <c r="I71" s="175">
        <f t="shared" si="15"/>
        <v>1</v>
      </c>
      <c r="J71" s="174">
        <v>0</v>
      </c>
      <c r="K71" s="174">
        <v>0</v>
      </c>
      <c r="L71" s="174">
        <v>0</v>
      </c>
      <c r="M71" s="174">
        <f>'Таблица 1'!M856</f>
        <v>14015314.959999999</v>
      </c>
      <c r="N71" s="174">
        <f t="shared" si="16"/>
        <v>14015314.959999999</v>
      </c>
    </row>
    <row r="72" spans="1:14" s="145" customFormat="1" ht="22.5" customHeight="1" x14ac:dyDescent="0.25">
      <c r="A72" s="172">
        <v>4</v>
      </c>
      <c r="B72" s="173" t="s">
        <v>858</v>
      </c>
      <c r="C72" s="174">
        <f>'Таблица 1'!I858</f>
        <v>35572.399999999987</v>
      </c>
      <c r="D72" s="175">
        <f>'Таблица 1'!L858</f>
        <v>1440</v>
      </c>
      <c r="E72" s="175">
        <v>0</v>
      </c>
      <c r="F72" s="175">
        <v>0</v>
      </c>
      <c r="G72" s="175">
        <v>0</v>
      </c>
      <c r="H72" s="175">
        <v>16</v>
      </c>
      <c r="I72" s="175">
        <f t="shared" si="15"/>
        <v>16</v>
      </c>
      <c r="J72" s="174">
        <v>0</v>
      </c>
      <c r="K72" s="174">
        <v>0</v>
      </c>
      <c r="L72" s="174">
        <v>0</v>
      </c>
      <c r="M72" s="174">
        <f>'Таблица 1'!M858</f>
        <v>58316525.04999999</v>
      </c>
      <c r="N72" s="174">
        <f t="shared" si="16"/>
        <v>58316525.04999999</v>
      </c>
    </row>
    <row r="73" spans="1:14" s="145" customFormat="1" ht="22.5" customHeight="1" x14ac:dyDescent="0.25">
      <c r="A73" s="172">
        <v>5</v>
      </c>
      <c r="B73" s="173" t="s">
        <v>859</v>
      </c>
      <c r="C73" s="174">
        <f>'Таблица 1'!I875</f>
        <v>767</v>
      </c>
      <c r="D73" s="175">
        <f>'Таблица 1'!L875</f>
        <v>45</v>
      </c>
      <c r="E73" s="175">
        <v>0</v>
      </c>
      <c r="F73" s="175">
        <v>0</v>
      </c>
      <c r="G73" s="175">
        <v>0</v>
      </c>
      <c r="H73" s="175">
        <v>1</v>
      </c>
      <c r="I73" s="175">
        <f t="shared" si="15"/>
        <v>1</v>
      </c>
      <c r="J73" s="174">
        <v>0</v>
      </c>
      <c r="K73" s="174">
        <v>0</v>
      </c>
      <c r="L73" s="174">
        <v>0</v>
      </c>
      <c r="M73" s="174">
        <f>'Таблица 1'!M875</f>
        <v>6418309.8899999997</v>
      </c>
      <c r="N73" s="174">
        <f t="shared" si="16"/>
        <v>6418309.8899999997</v>
      </c>
    </row>
    <row r="74" spans="1:14" s="145" customFormat="1" ht="22.5" customHeight="1" x14ac:dyDescent="0.25">
      <c r="A74" s="172">
        <v>6</v>
      </c>
      <c r="B74" s="173" t="s">
        <v>861</v>
      </c>
      <c r="C74" s="174">
        <f>'Таблица 1'!I877</f>
        <v>28034.3</v>
      </c>
      <c r="D74" s="175">
        <f>'Таблица 1'!L877</f>
        <v>652</v>
      </c>
      <c r="E74" s="175">
        <v>0</v>
      </c>
      <c r="F74" s="175">
        <v>0</v>
      </c>
      <c r="G74" s="175">
        <v>0</v>
      </c>
      <c r="H74" s="175">
        <v>8</v>
      </c>
      <c r="I74" s="175">
        <f t="shared" si="15"/>
        <v>8</v>
      </c>
      <c r="J74" s="174">
        <v>0</v>
      </c>
      <c r="K74" s="174">
        <v>0</v>
      </c>
      <c r="L74" s="174">
        <v>0</v>
      </c>
      <c r="M74" s="174">
        <f>'Таблица 1'!M877</f>
        <v>82973909.859999999</v>
      </c>
      <c r="N74" s="174">
        <f t="shared" si="16"/>
        <v>82973909.859999999</v>
      </c>
    </row>
    <row r="75" spans="1:14" s="145" customFormat="1" ht="22.5" customHeight="1" x14ac:dyDescent="0.25">
      <c r="A75" s="172">
        <v>7</v>
      </c>
      <c r="B75" s="173" t="s">
        <v>885</v>
      </c>
      <c r="C75" s="191">
        <f>'Таблица 1'!I886</f>
        <v>402</v>
      </c>
      <c r="D75" s="175">
        <f>'Таблица 1'!L886</f>
        <v>18</v>
      </c>
      <c r="E75" s="192">
        <v>0</v>
      </c>
      <c r="F75" s="175">
        <v>0</v>
      </c>
      <c r="G75" s="192">
        <v>0</v>
      </c>
      <c r="H75" s="175">
        <v>1</v>
      </c>
      <c r="I75" s="192">
        <f t="shared" si="15"/>
        <v>1</v>
      </c>
      <c r="J75" s="174">
        <v>0</v>
      </c>
      <c r="K75" s="191">
        <v>0</v>
      </c>
      <c r="L75" s="174">
        <v>0</v>
      </c>
      <c r="M75" s="191">
        <f>'Таблица 1'!M886</f>
        <v>671818.54999999993</v>
      </c>
      <c r="N75" s="174">
        <f t="shared" si="16"/>
        <v>671818.54999999993</v>
      </c>
    </row>
    <row r="76" spans="1:14" s="145" customFormat="1" ht="22.5" customHeight="1" x14ac:dyDescent="0.25">
      <c r="A76" s="172">
        <v>8</v>
      </c>
      <c r="B76" s="173" t="s">
        <v>862</v>
      </c>
      <c r="C76" s="174">
        <f>'Таблица 1'!I888</f>
        <v>8374.08</v>
      </c>
      <c r="D76" s="175">
        <f>'Таблица 1'!L888</f>
        <v>200</v>
      </c>
      <c r="E76" s="175">
        <v>0</v>
      </c>
      <c r="F76" s="175">
        <v>0</v>
      </c>
      <c r="G76" s="175">
        <v>0</v>
      </c>
      <c r="H76" s="175">
        <v>5</v>
      </c>
      <c r="I76" s="175">
        <f t="shared" si="15"/>
        <v>5</v>
      </c>
      <c r="J76" s="174">
        <v>0</v>
      </c>
      <c r="K76" s="174">
        <v>0</v>
      </c>
      <c r="L76" s="174">
        <v>0</v>
      </c>
      <c r="M76" s="174">
        <f>'Таблица 1'!M888</f>
        <v>21229739.600000001</v>
      </c>
      <c r="N76" s="174">
        <f t="shared" si="16"/>
        <v>21229739.600000001</v>
      </c>
    </row>
    <row r="77" spans="1:14" s="145" customFormat="1" ht="22.5" customHeight="1" x14ac:dyDescent="0.25">
      <c r="A77" s="172">
        <v>9</v>
      </c>
      <c r="B77" s="173" t="s">
        <v>867</v>
      </c>
      <c r="C77" s="174">
        <f>'Таблица 1'!I894</f>
        <v>13535.3</v>
      </c>
      <c r="D77" s="175">
        <f>'Таблица 1'!L894</f>
        <v>475</v>
      </c>
      <c r="E77" s="175">
        <v>0</v>
      </c>
      <c r="F77" s="175">
        <v>0</v>
      </c>
      <c r="G77" s="175">
        <v>0</v>
      </c>
      <c r="H77" s="175">
        <v>6</v>
      </c>
      <c r="I77" s="175">
        <f t="shared" si="15"/>
        <v>6</v>
      </c>
      <c r="J77" s="174">
        <v>0</v>
      </c>
      <c r="K77" s="174">
        <v>0</v>
      </c>
      <c r="L77" s="174">
        <v>0</v>
      </c>
      <c r="M77" s="174">
        <f>'Таблица 1'!M894</f>
        <v>44705346.509999998</v>
      </c>
      <c r="N77" s="174">
        <f t="shared" si="16"/>
        <v>44705346.509999998</v>
      </c>
    </row>
    <row r="78" spans="1:14" s="145" customFormat="1" ht="21.75" customHeight="1" x14ac:dyDescent="0.25">
      <c r="A78" s="172">
        <v>10</v>
      </c>
      <c r="B78" s="173" t="s">
        <v>886</v>
      </c>
      <c r="C78" s="174">
        <f>'Таблица 1'!I901</f>
        <v>4823.7000000000007</v>
      </c>
      <c r="D78" s="175">
        <f>'Таблица 1'!L901</f>
        <v>129</v>
      </c>
      <c r="E78" s="175">
        <v>0</v>
      </c>
      <c r="F78" s="175">
        <v>0</v>
      </c>
      <c r="G78" s="175">
        <v>0</v>
      </c>
      <c r="H78" s="175">
        <v>4</v>
      </c>
      <c r="I78" s="175">
        <f t="shared" si="15"/>
        <v>4</v>
      </c>
      <c r="J78" s="174">
        <v>0</v>
      </c>
      <c r="K78" s="174">
        <v>0</v>
      </c>
      <c r="L78" s="174">
        <v>0</v>
      </c>
      <c r="M78" s="174">
        <f>'Таблица 1'!M901</f>
        <v>23241981.200000003</v>
      </c>
      <c r="N78" s="174">
        <f t="shared" si="16"/>
        <v>23241981.200000003</v>
      </c>
    </row>
    <row r="79" spans="1:14" s="145" customFormat="1" ht="22.5" customHeight="1" x14ac:dyDescent="0.25">
      <c r="A79" s="172">
        <v>11</v>
      </c>
      <c r="B79" s="173" t="s">
        <v>889</v>
      </c>
      <c r="C79" s="174">
        <f>'Таблица 1'!I906</f>
        <v>9193.7000000000007</v>
      </c>
      <c r="D79" s="175">
        <f>'Таблица 1'!L906</f>
        <v>297</v>
      </c>
      <c r="E79" s="175">
        <v>0</v>
      </c>
      <c r="F79" s="175">
        <v>0</v>
      </c>
      <c r="G79" s="206">
        <v>0</v>
      </c>
      <c r="H79" s="206">
        <v>3</v>
      </c>
      <c r="I79" s="206">
        <f t="shared" si="15"/>
        <v>3</v>
      </c>
      <c r="J79" s="174">
        <v>0</v>
      </c>
      <c r="K79" s="174">
        <v>0</v>
      </c>
      <c r="L79" s="174">
        <v>0</v>
      </c>
      <c r="M79" s="174">
        <f>'Таблица 1'!M906</f>
        <v>27271196</v>
      </c>
      <c r="N79" s="174">
        <f t="shared" si="16"/>
        <v>27271196</v>
      </c>
    </row>
    <row r="80" spans="1:14" s="145" customFormat="1" ht="22.5" customHeight="1" x14ac:dyDescent="0.25">
      <c r="A80" s="172">
        <v>12</v>
      </c>
      <c r="B80" s="173" t="s">
        <v>870</v>
      </c>
      <c r="C80" s="174">
        <f>'Таблица 1'!I910</f>
        <v>8764.7000000000007</v>
      </c>
      <c r="D80" s="175">
        <f>'Таблица 1'!L910</f>
        <v>193</v>
      </c>
      <c r="E80" s="175">
        <v>0</v>
      </c>
      <c r="F80" s="175">
        <v>0</v>
      </c>
      <c r="G80" s="206">
        <v>0</v>
      </c>
      <c r="H80" s="206">
        <v>2</v>
      </c>
      <c r="I80" s="206">
        <f t="shared" si="15"/>
        <v>2</v>
      </c>
      <c r="J80" s="174">
        <v>0</v>
      </c>
      <c r="K80" s="174">
        <v>0</v>
      </c>
      <c r="L80" s="174">
        <v>0</v>
      </c>
      <c r="M80" s="174">
        <f>'Таблица 1'!M910</f>
        <v>21320759.239999998</v>
      </c>
      <c r="N80" s="174">
        <f t="shared" si="16"/>
        <v>21320759.239999998</v>
      </c>
    </row>
    <row r="81" spans="1:15" s="145" customFormat="1" ht="22.5" customHeight="1" x14ac:dyDescent="0.25">
      <c r="A81" s="172">
        <v>13</v>
      </c>
      <c r="B81" s="173" t="s">
        <v>871</v>
      </c>
      <c r="C81" s="174">
        <f>'Таблица 1'!I913</f>
        <v>2974.8900000000003</v>
      </c>
      <c r="D81" s="175">
        <f>'Таблица 1'!L913</f>
        <v>76</v>
      </c>
      <c r="E81" s="175">
        <v>0</v>
      </c>
      <c r="F81" s="175">
        <v>0</v>
      </c>
      <c r="G81" s="175">
        <v>0</v>
      </c>
      <c r="H81" s="175">
        <v>4</v>
      </c>
      <c r="I81" s="175">
        <f t="shared" si="15"/>
        <v>4</v>
      </c>
      <c r="J81" s="174">
        <v>0</v>
      </c>
      <c r="K81" s="174">
        <v>0</v>
      </c>
      <c r="L81" s="174">
        <v>0</v>
      </c>
      <c r="M81" s="174">
        <f>'Таблица 1'!M913</f>
        <v>21365651.73</v>
      </c>
      <c r="N81" s="174">
        <f t="shared" si="16"/>
        <v>21365651.73</v>
      </c>
    </row>
    <row r="82" spans="1:15" s="145" customFormat="1" ht="22.5" customHeight="1" x14ac:dyDescent="0.25">
      <c r="A82" s="172">
        <v>14</v>
      </c>
      <c r="B82" s="173" t="s">
        <v>872</v>
      </c>
      <c r="C82" s="174">
        <f>'Таблица 1'!I918</f>
        <v>2476</v>
      </c>
      <c r="D82" s="175">
        <f>'Таблица 1'!L918</f>
        <v>62</v>
      </c>
      <c r="E82" s="175">
        <v>0</v>
      </c>
      <c r="F82" s="175">
        <v>0</v>
      </c>
      <c r="G82" s="175">
        <v>0</v>
      </c>
      <c r="H82" s="175">
        <v>3</v>
      </c>
      <c r="I82" s="175">
        <f t="shared" si="15"/>
        <v>3</v>
      </c>
      <c r="J82" s="174">
        <v>0</v>
      </c>
      <c r="K82" s="174">
        <v>0</v>
      </c>
      <c r="L82" s="174">
        <v>0</v>
      </c>
      <c r="M82" s="174">
        <f>'Таблица 1'!M918</f>
        <v>12270982.609999999</v>
      </c>
      <c r="N82" s="174">
        <f t="shared" si="16"/>
        <v>12270982.609999999</v>
      </c>
    </row>
    <row r="83" spans="1:15" s="145" customFormat="1" ht="22.5" customHeight="1" x14ac:dyDescent="0.25">
      <c r="A83" s="172">
        <v>15</v>
      </c>
      <c r="B83" s="173" t="s">
        <v>873</v>
      </c>
      <c r="C83" s="191">
        <f>'Таблица 1'!I922</f>
        <v>3160.39</v>
      </c>
      <c r="D83" s="175">
        <f>'Таблица 1'!L922</f>
        <v>121</v>
      </c>
      <c r="E83" s="192">
        <v>0</v>
      </c>
      <c r="F83" s="175">
        <v>0</v>
      </c>
      <c r="G83" s="192">
        <v>0</v>
      </c>
      <c r="H83" s="175">
        <v>2</v>
      </c>
      <c r="I83" s="192">
        <f t="shared" si="15"/>
        <v>2</v>
      </c>
      <c r="J83" s="174">
        <v>0</v>
      </c>
      <c r="K83" s="191">
        <v>0</v>
      </c>
      <c r="L83" s="174">
        <v>0</v>
      </c>
      <c r="M83" s="191">
        <f>'Таблица 1'!M922</f>
        <v>2374096.34</v>
      </c>
      <c r="N83" s="174">
        <f t="shared" si="16"/>
        <v>2374096.34</v>
      </c>
    </row>
    <row r="84" spans="1:15" s="145" customFormat="1" ht="22.5" customHeight="1" x14ac:dyDescent="0.25">
      <c r="A84" s="172">
        <v>16</v>
      </c>
      <c r="B84" s="173" t="s">
        <v>875</v>
      </c>
      <c r="C84" s="174">
        <f>'Таблица 1'!I925</f>
        <v>10950.8</v>
      </c>
      <c r="D84" s="175">
        <f>'Таблица 1'!L925</f>
        <v>241</v>
      </c>
      <c r="E84" s="175">
        <v>0</v>
      </c>
      <c r="F84" s="175">
        <v>0</v>
      </c>
      <c r="G84" s="175">
        <v>0</v>
      </c>
      <c r="H84" s="175">
        <v>5</v>
      </c>
      <c r="I84" s="175">
        <f t="shared" si="15"/>
        <v>5</v>
      </c>
      <c r="J84" s="174">
        <v>0</v>
      </c>
      <c r="K84" s="174">
        <v>0</v>
      </c>
      <c r="L84" s="174">
        <v>0</v>
      </c>
      <c r="M84" s="174">
        <f>'Таблица 1'!M925</f>
        <v>40900714.379999995</v>
      </c>
      <c r="N84" s="174">
        <f t="shared" si="16"/>
        <v>40900714.379999995</v>
      </c>
    </row>
    <row r="85" spans="1:15" s="145" customFormat="1" ht="22.5" customHeight="1" x14ac:dyDescent="0.25">
      <c r="A85" s="172">
        <v>17</v>
      </c>
      <c r="B85" s="173" t="s">
        <v>876</v>
      </c>
      <c r="C85" s="191">
        <f>'Таблица 1'!I931</f>
        <v>1755</v>
      </c>
      <c r="D85" s="175">
        <f>'Таблица 1'!L931</f>
        <v>74</v>
      </c>
      <c r="E85" s="192">
        <v>0</v>
      </c>
      <c r="F85" s="175">
        <v>0</v>
      </c>
      <c r="G85" s="192">
        <v>0</v>
      </c>
      <c r="H85" s="175">
        <v>2</v>
      </c>
      <c r="I85" s="192">
        <f t="shared" si="15"/>
        <v>2</v>
      </c>
      <c r="J85" s="174">
        <v>0</v>
      </c>
      <c r="K85" s="191">
        <v>0</v>
      </c>
      <c r="L85" s="174">
        <v>0</v>
      </c>
      <c r="M85" s="191">
        <f>'Таблица 1'!M931</f>
        <v>8917767.8000000007</v>
      </c>
      <c r="N85" s="174">
        <f t="shared" si="16"/>
        <v>8917767.8000000007</v>
      </c>
    </row>
    <row r="86" spans="1:15" s="145" customFormat="1" ht="22.5" customHeight="1" x14ac:dyDescent="0.25">
      <c r="A86" s="172">
        <v>18</v>
      </c>
      <c r="B86" s="173" t="s">
        <v>877</v>
      </c>
      <c r="C86" s="174">
        <f>'Таблица 1'!I934</f>
        <v>34397.42</v>
      </c>
      <c r="D86" s="175">
        <f>'Таблица 1'!L934</f>
        <v>660</v>
      </c>
      <c r="E86" s="175">
        <v>0</v>
      </c>
      <c r="F86" s="175">
        <v>0</v>
      </c>
      <c r="G86" s="175">
        <v>0</v>
      </c>
      <c r="H86" s="175">
        <v>14</v>
      </c>
      <c r="I86" s="175">
        <f t="shared" si="15"/>
        <v>14</v>
      </c>
      <c r="J86" s="174">
        <v>0</v>
      </c>
      <c r="K86" s="174">
        <v>0</v>
      </c>
      <c r="L86" s="174">
        <v>0</v>
      </c>
      <c r="M86" s="174">
        <f>'Таблица 1'!M934</f>
        <v>127631734.08000001</v>
      </c>
      <c r="N86" s="174">
        <f t="shared" si="16"/>
        <v>127631734.08000001</v>
      </c>
    </row>
    <row r="87" spans="1:15" s="145" customFormat="1" ht="22.5" customHeight="1" x14ac:dyDescent="0.25">
      <c r="A87" s="172">
        <v>19</v>
      </c>
      <c r="B87" s="173" t="s">
        <v>888</v>
      </c>
      <c r="C87" s="174">
        <f>'Таблица 1'!I949</f>
        <v>14337.000000000002</v>
      </c>
      <c r="D87" s="175">
        <f>'Таблица 1'!L949</f>
        <v>659</v>
      </c>
      <c r="E87" s="175">
        <v>0</v>
      </c>
      <c r="F87" s="175">
        <v>0</v>
      </c>
      <c r="G87" s="175">
        <v>0</v>
      </c>
      <c r="H87" s="176">
        <v>7</v>
      </c>
      <c r="I87" s="175">
        <f t="shared" si="15"/>
        <v>7</v>
      </c>
      <c r="J87" s="174">
        <v>0</v>
      </c>
      <c r="K87" s="174">
        <v>0</v>
      </c>
      <c r="L87" s="174">
        <v>0</v>
      </c>
      <c r="M87" s="174">
        <f>'Таблица 1'!M949</f>
        <v>39493254.040000007</v>
      </c>
      <c r="N87" s="174">
        <f t="shared" si="16"/>
        <v>39493254.040000007</v>
      </c>
    </row>
    <row r="88" spans="1:15" s="145" customFormat="1" ht="27" customHeight="1" x14ac:dyDescent="0.25">
      <c r="A88" s="207"/>
      <c r="B88" s="208"/>
      <c r="C88" s="191"/>
      <c r="D88" s="192"/>
      <c r="E88" s="192"/>
      <c r="F88" s="192"/>
      <c r="G88" s="192"/>
      <c r="H88" s="192"/>
      <c r="I88" s="192"/>
      <c r="J88" s="191"/>
      <c r="K88" s="191"/>
      <c r="L88" s="191"/>
      <c r="M88" s="191"/>
      <c r="N88" s="191"/>
    </row>
    <row r="89" spans="1:15" ht="27" customHeight="1" x14ac:dyDescent="0.3">
      <c r="A89" s="340" t="s">
        <v>797</v>
      </c>
      <c r="B89" s="340"/>
      <c r="C89" s="209"/>
      <c r="D89" s="209"/>
      <c r="E89" s="209"/>
      <c r="F89" s="209"/>
      <c r="G89" s="209"/>
      <c r="H89" s="209"/>
      <c r="I89" s="209"/>
      <c r="J89" s="209"/>
      <c r="K89" s="209"/>
      <c r="L89" s="209"/>
      <c r="M89" s="209"/>
      <c r="N89" s="209"/>
      <c r="O89" s="210"/>
    </row>
    <row r="90" spans="1:15" ht="33" customHeight="1" x14ac:dyDescent="0.25">
      <c r="A90" s="341" t="s">
        <v>798</v>
      </c>
      <c r="B90" s="341"/>
      <c r="C90" s="341"/>
      <c r="D90" s="341"/>
      <c r="E90" s="341"/>
      <c r="F90" s="341"/>
      <c r="G90" s="341"/>
      <c r="H90" s="341"/>
      <c r="I90" s="341"/>
      <c r="J90" s="341"/>
      <c r="K90" s="341"/>
      <c r="L90" s="341"/>
      <c r="M90" s="341"/>
      <c r="N90" s="341"/>
      <c r="O90" s="211"/>
    </row>
    <row r="91" spans="1:15" s="6" customFormat="1" ht="27" customHeight="1" x14ac:dyDescent="0.25">
      <c r="A91" s="212"/>
      <c r="B91" s="203" t="s">
        <v>752</v>
      </c>
      <c r="C91" s="204">
        <f t="shared" ref="C91:N91" si="17">SUM(C92:C103)</f>
        <v>256000.87399999995</v>
      </c>
      <c r="D91" s="205">
        <f t="shared" si="17"/>
        <v>7758</v>
      </c>
      <c r="E91" s="205">
        <f t="shared" si="17"/>
        <v>0</v>
      </c>
      <c r="F91" s="205">
        <f t="shared" si="17"/>
        <v>0</v>
      </c>
      <c r="G91" s="205">
        <f t="shared" si="17"/>
        <v>0</v>
      </c>
      <c r="H91" s="205">
        <f t="shared" si="17"/>
        <v>53</v>
      </c>
      <c r="I91" s="205">
        <f t="shared" si="17"/>
        <v>53</v>
      </c>
      <c r="J91" s="204">
        <f t="shared" si="17"/>
        <v>0</v>
      </c>
      <c r="K91" s="204">
        <f t="shared" si="17"/>
        <v>0</v>
      </c>
      <c r="L91" s="204">
        <f t="shared" si="17"/>
        <v>0</v>
      </c>
      <c r="M91" s="204">
        <f t="shared" si="17"/>
        <v>48590541.969999984</v>
      </c>
      <c r="N91" s="204">
        <f t="shared" si="17"/>
        <v>48590541.969999984</v>
      </c>
      <c r="O91" s="161"/>
    </row>
    <row r="92" spans="1:15" s="6" customFormat="1" ht="23.25" customHeight="1" x14ac:dyDescent="0.25">
      <c r="A92" s="213">
        <v>1</v>
      </c>
      <c r="B92" s="173" t="s">
        <v>854</v>
      </c>
      <c r="C92" s="191">
        <f>'Таблица 1'!I962</f>
        <v>129718.59999999998</v>
      </c>
      <c r="D92" s="175">
        <f>'Таблица 1'!L962</f>
        <v>3343</v>
      </c>
      <c r="E92" s="192">
        <v>0</v>
      </c>
      <c r="F92" s="175">
        <v>0</v>
      </c>
      <c r="G92" s="192">
        <v>0</v>
      </c>
      <c r="H92" s="175">
        <v>24</v>
      </c>
      <c r="I92" s="192">
        <f t="shared" ref="I92:I103" si="18">H92</f>
        <v>24</v>
      </c>
      <c r="J92" s="174">
        <v>0</v>
      </c>
      <c r="K92" s="191">
        <v>0</v>
      </c>
      <c r="L92" s="174">
        <v>0</v>
      </c>
      <c r="M92" s="191">
        <f>'Таблица 1'!M962</f>
        <v>28775439.439999998</v>
      </c>
      <c r="N92" s="174">
        <f t="shared" ref="N92:N103" si="19">M92</f>
        <v>28775439.439999998</v>
      </c>
      <c r="O92" s="145"/>
    </row>
    <row r="93" spans="1:15" s="6" customFormat="1" ht="23.25" customHeight="1" x14ac:dyDescent="0.25">
      <c r="A93" s="213">
        <v>2</v>
      </c>
      <c r="B93" s="173" t="s">
        <v>857</v>
      </c>
      <c r="C93" s="174">
        <f>'Таблица 1'!I1000</f>
        <v>3068.23</v>
      </c>
      <c r="D93" s="175">
        <f>'Таблица 1'!L1000</f>
        <v>118</v>
      </c>
      <c r="E93" s="175">
        <v>0</v>
      </c>
      <c r="F93" s="175">
        <v>0</v>
      </c>
      <c r="G93" s="175">
        <v>0</v>
      </c>
      <c r="H93" s="175">
        <v>1</v>
      </c>
      <c r="I93" s="175">
        <f t="shared" si="18"/>
        <v>1</v>
      </c>
      <c r="J93" s="174">
        <v>0</v>
      </c>
      <c r="K93" s="174">
        <v>0</v>
      </c>
      <c r="L93" s="174">
        <v>0</v>
      </c>
      <c r="M93" s="174">
        <f>'Таблица 1'!M1000</f>
        <v>106040</v>
      </c>
      <c r="N93" s="174">
        <f t="shared" si="19"/>
        <v>106040</v>
      </c>
      <c r="O93" s="150"/>
    </row>
    <row r="94" spans="1:15" s="6" customFormat="1" ht="23.25" customHeight="1" x14ac:dyDescent="0.25">
      <c r="A94" s="213">
        <v>3</v>
      </c>
      <c r="B94" s="173" t="s">
        <v>858</v>
      </c>
      <c r="C94" s="174">
        <f>'Таблица 1'!I1002</f>
        <v>6946.3</v>
      </c>
      <c r="D94" s="175">
        <f>'Таблица 1'!L1002</f>
        <v>224</v>
      </c>
      <c r="E94" s="175">
        <v>0</v>
      </c>
      <c r="F94" s="175">
        <v>0</v>
      </c>
      <c r="G94" s="175">
        <v>0</v>
      </c>
      <c r="H94" s="175">
        <v>1</v>
      </c>
      <c r="I94" s="175">
        <f t="shared" si="18"/>
        <v>1</v>
      </c>
      <c r="J94" s="174">
        <v>0</v>
      </c>
      <c r="K94" s="174">
        <v>0</v>
      </c>
      <c r="L94" s="174">
        <v>0</v>
      </c>
      <c r="M94" s="174">
        <f>'Таблица 1'!M1002</f>
        <v>5313438.37</v>
      </c>
      <c r="N94" s="174">
        <f t="shared" si="19"/>
        <v>5313438.37</v>
      </c>
      <c r="O94" s="145"/>
    </row>
    <row r="95" spans="1:15" s="6" customFormat="1" ht="23.25" customHeight="1" x14ac:dyDescent="0.25">
      <c r="A95" s="213">
        <v>4</v>
      </c>
      <c r="B95" s="173" t="s">
        <v>860</v>
      </c>
      <c r="C95" s="191">
        <f>'Таблица 1'!I1004</f>
        <v>4707.5</v>
      </c>
      <c r="D95" s="175">
        <f>'Таблица 1'!L1004</f>
        <v>120</v>
      </c>
      <c r="E95" s="192">
        <v>0</v>
      </c>
      <c r="F95" s="175">
        <v>0</v>
      </c>
      <c r="G95" s="192">
        <v>0</v>
      </c>
      <c r="H95" s="175">
        <v>1</v>
      </c>
      <c r="I95" s="192">
        <f t="shared" si="18"/>
        <v>1</v>
      </c>
      <c r="J95" s="174">
        <v>0</v>
      </c>
      <c r="K95" s="191">
        <v>0</v>
      </c>
      <c r="L95" s="174">
        <v>0</v>
      </c>
      <c r="M95" s="191">
        <f>'Таблица 1'!M1004</f>
        <v>1132951.51</v>
      </c>
      <c r="N95" s="174">
        <f t="shared" si="19"/>
        <v>1132951.51</v>
      </c>
      <c r="O95" s="145"/>
    </row>
    <row r="96" spans="1:15" s="6" customFormat="1" ht="23.25" customHeight="1" x14ac:dyDescent="0.25">
      <c r="A96" s="213">
        <v>5</v>
      </c>
      <c r="B96" s="214" t="s">
        <v>862</v>
      </c>
      <c r="C96" s="174">
        <f>'Таблица 1'!I1006</f>
        <v>3754.11</v>
      </c>
      <c r="D96" s="175">
        <f>'Таблица 1'!L1006</f>
        <v>98</v>
      </c>
      <c r="E96" s="175">
        <v>0</v>
      </c>
      <c r="F96" s="175">
        <v>0</v>
      </c>
      <c r="G96" s="175">
        <v>0</v>
      </c>
      <c r="H96" s="175">
        <v>1</v>
      </c>
      <c r="I96" s="175">
        <f t="shared" si="18"/>
        <v>1</v>
      </c>
      <c r="J96" s="174">
        <v>0</v>
      </c>
      <c r="K96" s="174">
        <v>0</v>
      </c>
      <c r="L96" s="174">
        <v>0</v>
      </c>
      <c r="M96" s="174">
        <f>'Таблица 1'!M1006</f>
        <v>40</v>
      </c>
      <c r="N96" s="174">
        <f t="shared" si="19"/>
        <v>40</v>
      </c>
      <c r="O96" s="145"/>
    </row>
    <row r="97" spans="1:15" s="6" customFormat="1" ht="23.25" customHeight="1" x14ac:dyDescent="0.25">
      <c r="A97" s="213">
        <v>6</v>
      </c>
      <c r="B97" s="214" t="s">
        <v>863</v>
      </c>
      <c r="C97" s="174">
        <f>'Таблица 1'!I1009</f>
        <v>74550.173999999999</v>
      </c>
      <c r="D97" s="175">
        <f>'Таблица 1'!L1009</f>
        <v>2656</v>
      </c>
      <c r="E97" s="175">
        <v>0</v>
      </c>
      <c r="F97" s="175">
        <v>0</v>
      </c>
      <c r="G97" s="175">
        <v>0</v>
      </c>
      <c r="H97" s="175">
        <v>14</v>
      </c>
      <c r="I97" s="175">
        <f t="shared" si="18"/>
        <v>14</v>
      </c>
      <c r="J97" s="174">
        <v>0</v>
      </c>
      <c r="K97" s="174">
        <v>0</v>
      </c>
      <c r="L97" s="174">
        <v>0</v>
      </c>
      <c r="M97" s="174">
        <f>'Таблица 1'!Q1009</f>
        <v>10233715.550000001</v>
      </c>
      <c r="N97" s="174">
        <f t="shared" si="19"/>
        <v>10233715.550000001</v>
      </c>
      <c r="O97" s="145"/>
    </row>
    <row r="98" spans="1:15" s="6" customFormat="1" ht="23.25" customHeight="1" x14ac:dyDescent="0.25">
      <c r="A98" s="213">
        <v>7</v>
      </c>
      <c r="B98" s="173" t="s">
        <v>867</v>
      </c>
      <c r="C98" s="191">
        <f>'Таблица 1'!I1024</f>
        <v>6094.3</v>
      </c>
      <c r="D98" s="175">
        <f>'Таблица 1'!L1024</f>
        <v>209</v>
      </c>
      <c r="E98" s="192">
        <v>0</v>
      </c>
      <c r="F98" s="175">
        <v>0</v>
      </c>
      <c r="G98" s="192">
        <v>0</v>
      </c>
      <c r="H98" s="175">
        <v>2</v>
      </c>
      <c r="I98" s="192">
        <f t="shared" si="18"/>
        <v>2</v>
      </c>
      <c r="J98" s="174">
        <v>0</v>
      </c>
      <c r="K98" s="191">
        <v>0</v>
      </c>
      <c r="L98" s="174">
        <v>0</v>
      </c>
      <c r="M98" s="191">
        <f>'Таблица 1'!M1024</f>
        <v>-2057903.3999999994</v>
      </c>
      <c r="N98" s="174">
        <f t="shared" si="19"/>
        <v>-2057903.3999999994</v>
      </c>
      <c r="O98" s="145"/>
    </row>
    <row r="99" spans="1:15" s="6" customFormat="1" ht="23.25" customHeight="1" x14ac:dyDescent="0.25">
      <c r="A99" s="213">
        <v>8</v>
      </c>
      <c r="B99" s="173" t="s">
        <v>889</v>
      </c>
      <c r="C99" s="174">
        <f>'Таблица 1'!I1029</f>
        <v>923</v>
      </c>
      <c r="D99" s="175">
        <f>'Таблица 1'!L1029</f>
        <v>51</v>
      </c>
      <c r="E99" s="175">
        <v>0</v>
      </c>
      <c r="F99" s="175">
        <v>0</v>
      </c>
      <c r="G99" s="175">
        <v>0</v>
      </c>
      <c r="H99" s="175">
        <v>1</v>
      </c>
      <c r="I99" s="175">
        <f t="shared" si="18"/>
        <v>1</v>
      </c>
      <c r="J99" s="174">
        <v>0</v>
      </c>
      <c r="K99" s="174">
        <v>0</v>
      </c>
      <c r="L99" s="174">
        <v>0</v>
      </c>
      <c r="M99" s="174">
        <f>'Таблица 1'!M1029</f>
        <v>-0.5</v>
      </c>
      <c r="N99" s="174">
        <f t="shared" si="19"/>
        <v>-0.5</v>
      </c>
      <c r="O99" s="145"/>
    </row>
    <row r="100" spans="1:15" s="6" customFormat="1" ht="30" customHeight="1" x14ac:dyDescent="0.25">
      <c r="A100" s="213">
        <v>9</v>
      </c>
      <c r="B100" s="177" t="s">
        <v>890</v>
      </c>
      <c r="C100" s="193">
        <f t="shared" ref="C100:N100" si="20">C101</f>
        <v>10265.779999999999</v>
      </c>
      <c r="D100" s="194">
        <f t="shared" si="20"/>
        <v>378</v>
      </c>
      <c r="E100" s="194">
        <f t="shared" si="20"/>
        <v>0</v>
      </c>
      <c r="F100" s="194">
        <f t="shared" si="20"/>
        <v>0</v>
      </c>
      <c r="G100" s="194">
        <f t="shared" si="20"/>
        <v>0</v>
      </c>
      <c r="H100" s="194">
        <f t="shared" si="20"/>
        <v>3</v>
      </c>
      <c r="I100" s="194">
        <f t="shared" si="20"/>
        <v>3</v>
      </c>
      <c r="J100" s="193">
        <f t="shared" si="20"/>
        <v>0</v>
      </c>
      <c r="K100" s="193">
        <f t="shared" si="20"/>
        <v>0</v>
      </c>
      <c r="L100" s="193">
        <f t="shared" si="20"/>
        <v>0</v>
      </c>
      <c r="M100" s="193">
        <f t="shared" si="20"/>
        <v>2202112.44</v>
      </c>
      <c r="N100" s="193">
        <f t="shared" si="20"/>
        <v>2202112.44</v>
      </c>
      <c r="O100" s="145"/>
    </row>
    <row r="101" spans="1:15" s="6" customFormat="1" ht="23.25" customHeight="1" x14ac:dyDescent="0.25">
      <c r="A101" s="213"/>
      <c r="B101" s="215" t="s">
        <v>891</v>
      </c>
      <c r="C101" s="216">
        <f>'Таблица 1'!I1033</f>
        <v>10265.779999999999</v>
      </c>
      <c r="D101" s="217">
        <f>'Таблица 1'!L1033</f>
        <v>378</v>
      </c>
      <c r="E101" s="217">
        <v>0</v>
      </c>
      <c r="F101" s="217">
        <v>0</v>
      </c>
      <c r="G101" s="217">
        <v>0</v>
      </c>
      <c r="H101" s="217">
        <v>3</v>
      </c>
      <c r="I101" s="217">
        <f>H101</f>
        <v>3</v>
      </c>
      <c r="J101" s="216">
        <v>0</v>
      </c>
      <c r="K101" s="216">
        <v>0</v>
      </c>
      <c r="L101" s="216">
        <v>0</v>
      </c>
      <c r="M101" s="218">
        <f>'Таблица 1'!M1033</f>
        <v>2202112.44</v>
      </c>
      <c r="N101" s="216">
        <f>M101</f>
        <v>2202112.44</v>
      </c>
      <c r="O101" s="145"/>
    </row>
    <row r="102" spans="1:15" s="6" customFormat="1" ht="23.25" customHeight="1" x14ac:dyDescent="0.25">
      <c r="A102" s="213">
        <v>10</v>
      </c>
      <c r="B102" s="173" t="s">
        <v>873</v>
      </c>
      <c r="C102" s="219">
        <f>'Таблица 1'!I1037</f>
        <v>631.5</v>
      </c>
      <c r="D102" s="192">
        <f>'Таблица 1'!L1037</f>
        <v>23</v>
      </c>
      <c r="E102" s="220">
        <v>0</v>
      </c>
      <c r="F102" s="192">
        <v>0</v>
      </c>
      <c r="G102" s="220">
        <v>0</v>
      </c>
      <c r="H102" s="192">
        <v>1</v>
      </c>
      <c r="I102" s="217">
        <f t="shared" si="18"/>
        <v>1</v>
      </c>
      <c r="J102" s="216">
        <v>0</v>
      </c>
      <c r="K102" s="216">
        <v>0</v>
      </c>
      <c r="L102" s="216">
        <v>0</v>
      </c>
      <c r="M102" s="221">
        <f>'Таблица 1'!M1037</f>
        <v>-157403.87999999989</v>
      </c>
      <c r="N102" s="200">
        <f t="shared" si="19"/>
        <v>-157403.87999999989</v>
      </c>
      <c r="O102" s="145"/>
    </row>
    <row r="103" spans="1:15" s="6" customFormat="1" ht="23.25" customHeight="1" x14ac:dyDescent="0.25">
      <c r="A103" s="213">
        <v>11</v>
      </c>
      <c r="B103" s="173" t="s">
        <v>877</v>
      </c>
      <c r="C103" s="174">
        <f>'Таблица 1'!I1040</f>
        <v>5075.6000000000004</v>
      </c>
      <c r="D103" s="175">
        <f>'Таблица 1'!L1040</f>
        <v>160</v>
      </c>
      <c r="E103" s="175">
        <v>0</v>
      </c>
      <c r="F103" s="175">
        <v>0</v>
      </c>
      <c r="G103" s="175">
        <v>0</v>
      </c>
      <c r="H103" s="175">
        <v>1</v>
      </c>
      <c r="I103" s="201">
        <f t="shared" si="18"/>
        <v>1</v>
      </c>
      <c r="J103" s="200">
        <v>0</v>
      </c>
      <c r="K103" s="200">
        <v>0</v>
      </c>
      <c r="L103" s="200">
        <v>0</v>
      </c>
      <c r="M103" s="174">
        <f>'Таблица 1'!M1040</f>
        <v>840000</v>
      </c>
      <c r="N103" s="174">
        <f t="shared" si="19"/>
        <v>840000</v>
      </c>
      <c r="O103" s="145"/>
    </row>
    <row r="104" spans="1:15" s="6" customFormat="1" ht="23.25" customHeight="1" x14ac:dyDescent="0.25">
      <c r="A104" s="207"/>
      <c r="B104" s="1"/>
      <c r="C104" s="191"/>
      <c r="D104" s="192"/>
      <c r="E104" s="192"/>
      <c r="F104" s="192"/>
      <c r="G104" s="192"/>
      <c r="H104" s="192"/>
      <c r="I104" s="192"/>
      <c r="J104" s="191"/>
      <c r="K104" s="191"/>
      <c r="L104" s="191"/>
      <c r="M104" s="191"/>
      <c r="N104" s="191"/>
      <c r="O104" s="145"/>
    </row>
  </sheetData>
  <mergeCells count="10">
    <mergeCell ref="A89:B89"/>
    <mergeCell ref="A90:N90"/>
    <mergeCell ref="K1:N1"/>
    <mergeCell ref="A2:N2"/>
    <mergeCell ref="A4:A6"/>
    <mergeCell ref="B4:B6"/>
    <mergeCell ref="C4:C5"/>
    <mergeCell ref="D4:D5"/>
    <mergeCell ref="E4:I4"/>
    <mergeCell ref="J4:N4"/>
  </mergeCells>
  <pageMargins left="0.59055118110236249" right="0.19685039370078738" top="0.47244094488188981" bottom="0.11811023622047245" header="0.31496062992125984" footer="0.31496062992125984"/>
  <pageSetup paperSize="9" scale="65" firstPageNumber="26" orientation="landscape" useFirstPageNumber="1" r:id="rId1"/>
  <headerFooter>
    <oddHeader>&amp;C&amp;P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AP1067"/>
  <sheetViews>
    <sheetView tabSelected="1" view="pageBreakPreview" topLeftCell="A436" zoomScale="70" workbookViewId="0">
      <selection activeCell="B19" sqref="B19"/>
    </sheetView>
  </sheetViews>
  <sheetFormatPr defaultRowHeight="15" x14ac:dyDescent="0.25"/>
  <cols>
    <col min="1" max="1" width="5.42578125" style="222" customWidth="1"/>
    <col min="2" max="2" width="49.5703125" style="222" customWidth="1"/>
    <col min="3" max="3" width="17.140625" style="223" customWidth="1"/>
    <col min="4" max="4" width="17.7109375" style="223" customWidth="1"/>
    <col min="5" max="5" width="17.5703125" style="223" customWidth="1"/>
    <col min="6" max="6" width="16.85546875" style="223" customWidth="1"/>
    <col min="7" max="7" width="17.7109375" style="223" customWidth="1"/>
    <col min="8" max="8" width="16.42578125" style="223" customWidth="1"/>
    <col min="9" max="9" width="17.7109375" style="223" customWidth="1"/>
    <col min="10" max="10" width="8" style="223" customWidth="1"/>
    <col min="11" max="11" width="16.140625" style="223" customWidth="1"/>
    <col min="12" max="12" width="17.7109375" style="223" customWidth="1"/>
    <col min="13" max="13" width="15.28515625" style="223" customWidth="1"/>
    <col min="14" max="14" width="17.42578125" style="223" customWidth="1"/>
    <col min="15" max="15" width="15.85546875" style="223" customWidth="1"/>
    <col min="16" max="16" width="17.85546875" style="223" customWidth="1"/>
    <col min="17" max="17" width="17" style="223" customWidth="1"/>
    <col min="18" max="18" width="13.7109375" style="223" customWidth="1"/>
    <col min="19" max="19" width="18.140625" style="223" customWidth="1"/>
    <col min="20" max="20" width="11.140625" style="223" customWidth="1"/>
    <col min="21" max="22" width="9.140625" style="224"/>
  </cols>
  <sheetData>
    <row r="2" spans="1:22" s="225" customFormat="1" ht="57" customHeight="1" x14ac:dyDescent="0.3">
      <c r="A2" s="359" t="s">
        <v>892</v>
      </c>
      <c r="B2" s="359"/>
      <c r="C2" s="360"/>
      <c r="D2" s="360"/>
      <c r="E2" s="360"/>
      <c r="F2" s="360"/>
      <c r="G2" s="360"/>
      <c r="H2" s="360"/>
      <c r="I2" s="360"/>
      <c r="J2" s="360"/>
      <c r="K2" s="360"/>
      <c r="L2" s="360"/>
      <c r="M2" s="360"/>
      <c r="N2" s="360"/>
      <c r="O2" s="360"/>
      <c r="P2" s="360"/>
      <c r="Q2" s="360"/>
      <c r="R2" s="360"/>
      <c r="S2" s="360"/>
      <c r="T2" s="360"/>
      <c r="U2" s="226"/>
      <c r="V2" s="226"/>
    </row>
    <row r="3" spans="1:22" ht="28.5" customHeight="1" x14ac:dyDescent="0.25"/>
    <row r="4" spans="1:22" ht="33.75" customHeight="1" x14ac:dyDescent="0.25">
      <c r="A4" s="361" t="s">
        <v>8</v>
      </c>
      <c r="B4" s="361" t="s">
        <v>9</v>
      </c>
      <c r="C4" s="362" t="s">
        <v>893</v>
      </c>
      <c r="D4" s="362" t="s">
        <v>894</v>
      </c>
      <c r="E4" s="362"/>
      <c r="F4" s="362"/>
      <c r="G4" s="362"/>
      <c r="H4" s="362"/>
      <c r="I4" s="362"/>
      <c r="J4" s="362"/>
      <c r="K4" s="362"/>
      <c r="L4" s="362"/>
      <c r="M4" s="362"/>
      <c r="N4" s="362"/>
      <c r="O4" s="362"/>
      <c r="P4" s="362" t="s">
        <v>895</v>
      </c>
      <c r="Q4" s="362"/>
      <c r="R4" s="362"/>
      <c r="S4" s="362"/>
      <c r="T4" s="362" t="s">
        <v>896</v>
      </c>
    </row>
    <row r="5" spans="1:22" ht="29.45" customHeight="1" x14ac:dyDescent="0.25">
      <c r="A5" s="361"/>
      <c r="B5" s="361"/>
      <c r="C5" s="362"/>
      <c r="D5" s="362" t="s">
        <v>897</v>
      </c>
      <c r="E5" s="362" t="s">
        <v>26</v>
      </c>
      <c r="F5" s="362"/>
      <c r="G5" s="362"/>
      <c r="H5" s="362"/>
      <c r="I5" s="362"/>
      <c r="J5" s="362" t="s">
        <v>898</v>
      </c>
      <c r="K5" s="362"/>
      <c r="L5" s="362" t="s">
        <v>899</v>
      </c>
      <c r="M5" s="362" t="s">
        <v>900</v>
      </c>
      <c r="N5" s="362" t="s">
        <v>901</v>
      </c>
      <c r="O5" s="362" t="s">
        <v>902</v>
      </c>
      <c r="P5" s="362" t="s">
        <v>903</v>
      </c>
      <c r="Q5" s="362" t="s">
        <v>904</v>
      </c>
      <c r="R5" s="362" t="s">
        <v>905</v>
      </c>
      <c r="S5" s="362" t="s">
        <v>906</v>
      </c>
      <c r="T5" s="362"/>
    </row>
    <row r="6" spans="1:22" ht="274.5" customHeight="1" x14ac:dyDescent="0.25">
      <c r="A6" s="361"/>
      <c r="B6" s="361"/>
      <c r="C6" s="362"/>
      <c r="D6" s="362"/>
      <c r="E6" s="228" t="s">
        <v>907</v>
      </c>
      <c r="F6" s="228" t="s">
        <v>908</v>
      </c>
      <c r="G6" s="228" t="s">
        <v>909</v>
      </c>
      <c r="H6" s="228" t="s">
        <v>910</v>
      </c>
      <c r="I6" s="228" t="s">
        <v>911</v>
      </c>
      <c r="J6" s="362"/>
      <c r="K6" s="362"/>
      <c r="L6" s="362"/>
      <c r="M6" s="362"/>
      <c r="N6" s="362"/>
      <c r="O6" s="362"/>
      <c r="P6" s="362"/>
      <c r="Q6" s="362"/>
      <c r="R6" s="362"/>
      <c r="S6" s="362"/>
      <c r="T6" s="362"/>
    </row>
    <row r="7" spans="1:22" ht="19.5" customHeight="1" x14ac:dyDescent="0.25">
      <c r="A7" s="361"/>
      <c r="B7" s="361"/>
      <c r="C7" s="228" t="s">
        <v>35</v>
      </c>
      <c r="D7" s="228" t="s">
        <v>35</v>
      </c>
      <c r="E7" s="228" t="s">
        <v>35</v>
      </c>
      <c r="F7" s="228" t="s">
        <v>35</v>
      </c>
      <c r="G7" s="228" t="s">
        <v>35</v>
      </c>
      <c r="H7" s="228" t="s">
        <v>35</v>
      </c>
      <c r="I7" s="228" t="s">
        <v>35</v>
      </c>
      <c r="J7" s="228" t="s">
        <v>853</v>
      </c>
      <c r="K7" s="228" t="s">
        <v>35</v>
      </c>
      <c r="L7" s="228" t="s">
        <v>35</v>
      </c>
      <c r="M7" s="228" t="s">
        <v>35</v>
      </c>
      <c r="N7" s="228" t="s">
        <v>35</v>
      </c>
      <c r="O7" s="228" t="s">
        <v>35</v>
      </c>
      <c r="P7" s="228" t="s">
        <v>35</v>
      </c>
      <c r="Q7" s="228" t="s">
        <v>35</v>
      </c>
      <c r="R7" s="228" t="s">
        <v>35</v>
      </c>
      <c r="S7" s="228" t="s">
        <v>35</v>
      </c>
      <c r="T7" s="228" t="s">
        <v>35</v>
      </c>
    </row>
    <row r="8" spans="1:22" ht="18" customHeight="1" x14ac:dyDescent="0.25">
      <c r="A8" s="227">
        <v>1</v>
      </c>
      <c r="B8" s="227">
        <v>2</v>
      </c>
      <c r="C8" s="229">
        <v>3</v>
      </c>
      <c r="D8" s="229">
        <v>4</v>
      </c>
      <c r="E8" s="229">
        <v>5</v>
      </c>
      <c r="F8" s="229">
        <v>6</v>
      </c>
      <c r="G8" s="229">
        <v>7</v>
      </c>
      <c r="H8" s="229">
        <v>8</v>
      </c>
      <c r="I8" s="229">
        <v>9</v>
      </c>
      <c r="J8" s="229">
        <v>10</v>
      </c>
      <c r="K8" s="229">
        <v>11</v>
      </c>
      <c r="L8" s="229">
        <v>12</v>
      </c>
      <c r="M8" s="229">
        <v>13</v>
      </c>
      <c r="N8" s="229">
        <v>14</v>
      </c>
      <c r="O8" s="229">
        <v>15</v>
      </c>
      <c r="P8" s="229">
        <v>16</v>
      </c>
      <c r="Q8" s="229">
        <v>17</v>
      </c>
      <c r="R8" s="229">
        <v>18</v>
      </c>
      <c r="S8" s="229">
        <v>19</v>
      </c>
      <c r="T8" s="229">
        <v>20</v>
      </c>
    </row>
    <row r="9" spans="1:22" s="230" customFormat="1" ht="26.25" customHeight="1" x14ac:dyDescent="0.25">
      <c r="A9" s="356" t="s">
        <v>37</v>
      </c>
      <c r="B9" s="356"/>
      <c r="C9" s="231"/>
      <c r="D9" s="231"/>
      <c r="E9" s="231"/>
      <c r="F9" s="231"/>
      <c r="G9" s="231"/>
      <c r="H9" s="231"/>
      <c r="I9" s="231"/>
      <c r="J9" s="231"/>
      <c r="K9" s="231"/>
      <c r="L9" s="231"/>
      <c r="M9" s="231"/>
      <c r="N9" s="231"/>
      <c r="O9" s="231"/>
      <c r="P9" s="231"/>
      <c r="Q9" s="231"/>
      <c r="R9" s="231"/>
      <c r="S9" s="231"/>
      <c r="T9" s="231"/>
      <c r="U9" s="232"/>
      <c r="V9" s="232"/>
    </row>
    <row r="10" spans="1:22" s="161" customFormat="1" ht="27.75" customHeight="1" x14ac:dyDescent="0.25">
      <c r="A10" s="357" t="s">
        <v>38</v>
      </c>
      <c r="B10" s="357"/>
      <c r="C10" s="233">
        <f t="shared" ref="C10:T10" si="0">C11+C213+C218+C227+C234+C256+C258+C266+C269+C285+C302+C305+C308+C314+C328+C334+C349+C360+C370+C376+C379+C385+C392+C397+C409</f>
        <v>1464616546.0300009</v>
      </c>
      <c r="D10" s="233">
        <f t="shared" si="0"/>
        <v>434771701.80000001</v>
      </c>
      <c r="E10" s="233">
        <f t="shared" si="0"/>
        <v>137815040.27000001</v>
      </c>
      <c r="F10" s="233">
        <f t="shared" si="0"/>
        <v>195451080.96000004</v>
      </c>
      <c r="G10" s="233">
        <f t="shared" si="0"/>
        <v>38268354.019999996</v>
      </c>
      <c r="H10" s="233">
        <f t="shared" si="0"/>
        <v>30565160.939999998</v>
      </c>
      <c r="I10" s="233">
        <f t="shared" si="0"/>
        <v>32672065.609999996</v>
      </c>
      <c r="J10" s="234">
        <f t="shared" si="0"/>
        <v>27</v>
      </c>
      <c r="K10" s="233">
        <f t="shared" si="0"/>
        <v>94860786.590000004</v>
      </c>
      <c r="L10" s="233">
        <f t="shared" si="0"/>
        <v>431454928.56999993</v>
      </c>
      <c r="M10" s="233">
        <f t="shared" si="0"/>
        <v>631285.16</v>
      </c>
      <c r="N10" s="233">
        <f t="shared" si="0"/>
        <v>227946198.94999996</v>
      </c>
      <c r="O10" s="233">
        <f t="shared" si="0"/>
        <v>0</v>
      </c>
      <c r="P10" s="233">
        <f t="shared" si="0"/>
        <v>70974558.879999995</v>
      </c>
      <c r="Q10" s="233">
        <f t="shared" si="0"/>
        <v>0</v>
      </c>
      <c r="R10" s="233">
        <f t="shared" si="0"/>
        <v>146194</v>
      </c>
      <c r="S10" s="233">
        <f t="shared" si="0"/>
        <v>203830892.08000004</v>
      </c>
      <c r="T10" s="233">
        <f t="shared" si="0"/>
        <v>0</v>
      </c>
      <c r="U10" s="235"/>
      <c r="V10" s="235"/>
    </row>
    <row r="11" spans="1:22" s="186" customFormat="1" ht="24" customHeight="1" x14ac:dyDescent="0.25">
      <c r="A11" s="358" t="s">
        <v>41</v>
      </c>
      <c r="B11" s="358"/>
      <c r="C11" s="236">
        <f t="shared" ref="C11:T11" si="1">SUM(C12:C212)</f>
        <v>888437309.85000038</v>
      </c>
      <c r="D11" s="236">
        <f t="shared" si="1"/>
        <v>240715665.68999997</v>
      </c>
      <c r="E11" s="236">
        <f t="shared" si="1"/>
        <v>78379231.810000002</v>
      </c>
      <c r="F11" s="236">
        <f t="shared" si="1"/>
        <v>115297809.88000001</v>
      </c>
      <c r="G11" s="236">
        <f t="shared" si="1"/>
        <v>29732906.369999997</v>
      </c>
      <c r="H11" s="236">
        <f t="shared" si="1"/>
        <v>9778836.7699999996</v>
      </c>
      <c r="I11" s="236">
        <f t="shared" si="1"/>
        <v>7526880.8599999994</v>
      </c>
      <c r="J11" s="237">
        <f t="shared" si="1"/>
        <v>27</v>
      </c>
      <c r="K11" s="236">
        <f t="shared" si="1"/>
        <v>94860786.590000004</v>
      </c>
      <c r="L11" s="236">
        <f t="shared" si="1"/>
        <v>251003899.20999998</v>
      </c>
      <c r="M11" s="236">
        <f t="shared" si="1"/>
        <v>0</v>
      </c>
      <c r="N11" s="236">
        <f t="shared" si="1"/>
        <v>160522393.47999996</v>
      </c>
      <c r="O11" s="236">
        <f t="shared" si="1"/>
        <v>0</v>
      </c>
      <c r="P11" s="236">
        <f t="shared" si="1"/>
        <v>43983492.969999991</v>
      </c>
      <c r="Q11" s="236">
        <f t="shared" si="1"/>
        <v>0</v>
      </c>
      <c r="R11" s="236">
        <f t="shared" si="1"/>
        <v>0</v>
      </c>
      <c r="S11" s="236">
        <f t="shared" si="1"/>
        <v>97351071.910000011</v>
      </c>
      <c r="T11" s="236">
        <f t="shared" si="1"/>
        <v>0</v>
      </c>
      <c r="U11" s="238"/>
      <c r="V11" s="238"/>
    </row>
    <row r="12" spans="1:22" s="186" customFormat="1" ht="24" customHeight="1" x14ac:dyDescent="0.25">
      <c r="A12" s="25">
        <v>1</v>
      </c>
      <c r="B12" s="34" t="s">
        <v>912</v>
      </c>
      <c r="C12" s="75">
        <f t="shared" ref="C12:C75" si="2">D12+K12+L12+M12+N12+O12+P12+Q12+R12+S12+T12</f>
        <v>314576.99</v>
      </c>
      <c r="D12" s="75">
        <f t="shared" ref="D12:D75" si="3">SUM(E12:I12)</f>
        <v>0</v>
      </c>
      <c r="E12" s="87">
        <v>0</v>
      </c>
      <c r="F12" s="87">
        <v>0</v>
      </c>
      <c r="G12" s="87">
        <v>0</v>
      </c>
      <c r="H12" s="87">
        <v>0</v>
      </c>
      <c r="I12" s="87">
        <v>0</v>
      </c>
      <c r="J12" s="152">
        <v>0</v>
      </c>
      <c r="K12" s="75">
        <v>0</v>
      </c>
      <c r="L12" s="75">
        <v>0</v>
      </c>
      <c r="M12" s="75">
        <v>0</v>
      </c>
      <c r="N12" s="75">
        <v>0</v>
      </c>
      <c r="O12" s="75">
        <v>0</v>
      </c>
      <c r="P12" s="87">
        <v>314576.99</v>
      </c>
      <c r="Q12" s="75">
        <v>0</v>
      </c>
      <c r="R12" s="75">
        <v>0</v>
      </c>
      <c r="S12" s="75">
        <v>0</v>
      </c>
      <c r="T12" s="75">
        <v>0</v>
      </c>
      <c r="U12" s="239"/>
      <c r="V12" s="239"/>
    </row>
    <row r="13" spans="1:22" s="186" customFormat="1" ht="24" customHeight="1" x14ac:dyDescent="0.25">
      <c r="A13" s="25">
        <v>2</v>
      </c>
      <c r="B13" s="34" t="s">
        <v>913</v>
      </c>
      <c r="C13" s="75">
        <f t="shared" si="2"/>
        <v>5950906.5700000003</v>
      </c>
      <c r="D13" s="75">
        <f t="shared" si="3"/>
        <v>5675335.2999999998</v>
      </c>
      <c r="E13" s="87">
        <v>0</v>
      </c>
      <c r="F13" s="87">
        <v>5675335.2999999998</v>
      </c>
      <c r="G13" s="87">
        <v>0</v>
      </c>
      <c r="H13" s="87">
        <v>0</v>
      </c>
      <c r="I13" s="87">
        <v>0</v>
      </c>
      <c r="J13" s="152">
        <v>0</v>
      </c>
      <c r="K13" s="75">
        <v>0</v>
      </c>
      <c r="L13" s="75">
        <v>0</v>
      </c>
      <c r="M13" s="75">
        <v>0</v>
      </c>
      <c r="N13" s="75">
        <v>0</v>
      </c>
      <c r="O13" s="75">
        <v>0</v>
      </c>
      <c r="P13" s="87">
        <v>275571.27</v>
      </c>
      <c r="Q13" s="75">
        <v>0</v>
      </c>
      <c r="R13" s="75">
        <v>0</v>
      </c>
      <c r="S13" s="75">
        <v>0</v>
      </c>
      <c r="T13" s="75">
        <v>0</v>
      </c>
      <c r="U13" s="239"/>
      <c r="V13" s="239"/>
    </row>
    <row r="14" spans="1:22" s="186" customFormat="1" ht="24" customHeight="1" x14ac:dyDescent="0.25">
      <c r="A14" s="25">
        <v>3</v>
      </c>
      <c r="B14" s="34" t="s">
        <v>914</v>
      </c>
      <c r="C14" s="75">
        <f t="shared" si="2"/>
        <v>171672.69</v>
      </c>
      <c r="D14" s="75">
        <f t="shared" si="3"/>
        <v>0</v>
      </c>
      <c r="E14" s="87">
        <v>0</v>
      </c>
      <c r="F14" s="75">
        <v>0</v>
      </c>
      <c r="G14" s="87">
        <v>0</v>
      </c>
      <c r="H14" s="87">
        <v>0</v>
      </c>
      <c r="I14" s="75">
        <v>0</v>
      </c>
      <c r="J14" s="152">
        <v>0</v>
      </c>
      <c r="K14" s="75">
        <v>0</v>
      </c>
      <c r="L14" s="75">
        <v>0</v>
      </c>
      <c r="M14" s="75">
        <v>0</v>
      </c>
      <c r="N14" s="75">
        <v>0</v>
      </c>
      <c r="O14" s="75">
        <v>0</v>
      </c>
      <c r="P14" s="87">
        <v>171672.69</v>
      </c>
      <c r="Q14" s="75">
        <v>0</v>
      </c>
      <c r="R14" s="75">
        <v>0</v>
      </c>
      <c r="S14" s="75">
        <v>0</v>
      </c>
      <c r="T14" s="75">
        <v>0</v>
      </c>
      <c r="U14" s="239"/>
      <c r="V14" s="239"/>
    </row>
    <row r="15" spans="1:22" s="186" customFormat="1" ht="24" customHeight="1" x14ac:dyDescent="0.25">
      <c r="A15" s="25">
        <v>4</v>
      </c>
      <c r="B15" s="34" t="s">
        <v>915</v>
      </c>
      <c r="C15" s="75">
        <f t="shared" si="2"/>
        <v>5669424.5199999996</v>
      </c>
      <c r="D15" s="75">
        <f t="shared" si="3"/>
        <v>0</v>
      </c>
      <c r="E15" s="87">
        <v>0</v>
      </c>
      <c r="F15" s="75">
        <v>0</v>
      </c>
      <c r="G15" s="75">
        <v>0</v>
      </c>
      <c r="H15" s="87">
        <v>0</v>
      </c>
      <c r="I15" s="75">
        <v>0</v>
      </c>
      <c r="J15" s="152">
        <v>0</v>
      </c>
      <c r="K15" s="75">
        <v>0</v>
      </c>
      <c r="L15" s="75">
        <v>0</v>
      </c>
      <c r="M15" s="75">
        <v>0</v>
      </c>
      <c r="N15" s="87">
        <v>5391200.8499999996</v>
      </c>
      <c r="O15" s="75">
        <v>0</v>
      </c>
      <c r="P15" s="87">
        <v>278223.67</v>
      </c>
      <c r="Q15" s="75">
        <v>0</v>
      </c>
      <c r="R15" s="75">
        <v>0</v>
      </c>
      <c r="S15" s="75">
        <v>0</v>
      </c>
      <c r="T15" s="75">
        <v>0</v>
      </c>
      <c r="U15" s="239"/>
      <c r="V15" s="239"/>
    </row>
    <row r="16" spans="1:22" s="186" customFormat="1" ht="24" customHeight="1" x14ac:dyDescent="0.25">
      <c r="A16" s="25">
        <v>5</v>
      </c>
      <c r="B16" s="34" t="s">
        <v>916</v>
      </c>
      <c r="C16" s="75">
        <f t="shared" si="2"/>
        <v>6739721.1099999994</v>
      </c>
      <c r="D16" s="75">
        <f t="shared" si="3"/>
        <v>6165882.9199999999</v>
      </c>
      <c r="E16" s="87">
        <v>0</v>
      </c>
      <c r="F16" s="87">
        <v>6165882.9199999999</v>
      </c>
      <c r="G16" s="75">
        <v>0</v>
      </c>
      <c r="H16" s="87">
        <v>0</v>
      </c>
      <c r="I16" s="87">
        <v>0</v>
      </c>
      <c r="J16" s="152">
        <v>0</v>
      </c>
      <c r="K16" s="75">
        <v>0</v>
      </c>
      <c r="L16" s="87">
        <v>0</v>
      </c>
      <c r="M16" s="75">
        <v>0</v>
      </c>
      <c r="N16" s="75">
        <v>0</v>
      </c>
      <c r="O16" s="75">
        <v>0</v>
      </c>
      <c r="P16" s="87">
        <v>573838.18999999994</v>
      </c>
      <c r="Q16" s="75">
        <v>0</v>
      </c>
      <c r="R16" s="75">
        <v>0</v>
      </c>
      <c r="S16" s="75">
        <v>0</v>
      </c>
      <c r="T16" s="75">
        <v>0</v>
      </c>
      <c r="U16" s="239"/>
      <c r="V16" s="239"/>
    </row>
    <row r="17" spans="1:35" s="186" customFormat="1" ht="24" customHeight="1" x14ac:dyDescent="0.25">
      <c r="A17" s="25">
        <v>6</v>
      </c>
      <c r="B17" s="34" t="s">
        <v>917</v>
      </c>
      <c r="C17" s="75">
        <f t="shared" si="2"/>
        <v>16977503.699999999</v>
      </c>
      <c r="D17" s="75">
        <f t="shared" si="3"/>
        <v>4547938.8</v>
      </c>
      <c r="E17" s="87">
        <v>0</v>
      </c>
      <c r="F17" s="87">
        <v>4547938.8</v>
      </c>
      <c r="G17" s="75">
        <v>0</v>
      </c>
      <c r="H17" s="87">
        <v>0</v>
      </c>
      <c r="I17" s="87">
        <v>0</v>
      </c>
      <c r="J17" s="152">
        <v>0</v>
      </c>
      <c r="K17" s="75">
        <v>0</v>
      </c>
      <c r="L17" s="87">
        <v>12140760.970000001</v>
      </c>
      <c r="M17" s="75">
        <v>0</v>
      </c>
      <c r="N17" s="75">
        <v>0</v>
      </c>
      <c r="O17" s="75">
        <v>0</v>
      </c>
      <c r="P17" s="87">
        <v>288803.93</v>
      </c>
      <c r="Q17" s="75">
        <v>0</v>
      </c>
      <c r="R17" s="75">
        <v>0</v>
      </c>
      <c r="S17" s="75">
        <v>0</v>
      </c>
      <c r="T17" s="75">
        <v>0</v>
      </c>
      <c r="U17" s="239"/>
      <c r="V17" s="239"/>
    </row>
    <row r="18" spans="1:35" s="186" customFormat="1" ht="24" customHeight="1" x14ac:dyDescent="0.25">
      <c r="A18" s="25">
        <v>7</v>
      </c>
      <c r="B18" s="34" t="s">
        <v>918</v>
      </c>
      <c r="C18" s="75">
        <f t="shared" si="2"/>
        <v>15896526.6</v>
      </c>
      <c r="D18" s="75">
        <f t="shared" si="3"/>
        <v>5686206.4299999997</v>
      </c>
      <c r="E18" s="87">
        <v>0</v>
      </c>
      <c r="F18" s="87">
        <v>5686206.4299999997</v>
      </c>
      <c r="G18" s="75">
        <v>0</v>
      </c>
      <c r="H18" s="87">
        <v>0</v>
      </c>
      <c r="I18" s="87">
        <v>0</v>
      </c>
      <c r="J18" s="152">
        <v>0</v>
      </c>
      <c r="K18" s="75">
        <v>0</v>
      </c>
      <c r="L18" s="87">
        <v>9662889.4100000001</v>
      </c>
      <c r="M18" s="75">
        <v>0</v>
      </c>
      <c r="N18" s="75">
        <v>0</v>
      </c>
      <c r="O18" s="75">
        <v>0</v>
      </c>
      <c r="P18" s="87">
        <v>547430.76</v>
      </c>
      <c r="Q18" s="75">
        <v>0</v>
      </c>
      <c r="R18" s="75">
        <v>0</v>
      </c>
      <c r="S18" s="75">
        <v>0</v>
      </c>
      <c r="T18" s="75">
        <v>0</v>
      </c>
      <c r="U18" s="239"/>
      <c r="V18" s="239"/>
    </row>
    <row r="19" spans="1:35" s="186" customFormat="1" ht="24" customHeight="1" x14ac:dyDescent="0.25">
      <c r="A19" s="25">
        <v>8</v>
      </c>
      <c r="B19" s="34" t="s">
        <v>919</v>
      </c>
      <c r="C19" s="75">
        <f t="shared" si="2"/>
        <v>16333474.01</v>
      </c>
      <c r="D19" s="75">
        <f t="shared" si="3"/>
        <v>4821190.05</v>
      </c>
      <c r="E19" s="87">
        <v>0</v>
      </c>
      <c r="F19" s="87">
        <v>4821190.05</v>
      </c>
      <c r="G19" s="75">
        <v>0</v>
      </c>
      <c r="H19" s="87">
        <v>0</v>
      </c>
      <c r="I19" s="75">
        <v>0</v>
      </c>
      <c r="J19" s="152">
        <v>0</v>
      </c>
      <c r="K19" s="75">
        <v>0</v>
      </c>
      <c r="L19" s="87">
        <v>11246005.039999999</v>
      </c>
      <c r="M19" s="75">
        <v>0</v>
      </c>
      <c r="N19" s="75">
        <v>0</v>
      </c>
      <c r="O19" s="75">
        <v>0</v>
      </c>
      <c r="P19" s="87">
        <v>266278.92</v>
      </c>
      <c r="Q19" s="75">
        <v>0</v>
      </c>
      <c r="R19" s="75">
        <v>0</v>
      </c>
      <c r="S19" s="75">
        <v>0</v>
      </c>
      <c r="T19" s="75">
        <v>0</v>
      </c>
      <c r="U19" s="239"/>
      <c r="V19" s="239"/>
    </row>
    <row r="20" spans="1:35" s="186" customFormat="1" ht="24" customHeight="1" x14ac:dyDescent="0.25">
      <c r="A20" s="25">
        <v>9</v>
      </c>
      <c r="B20" s="34" t="s">
        <v>920</v>
      </c>
      <c r="C20" s="75">
        <f t="shared" si="2"/>
        <v>391899.61</v>
      </c>
      <c r="D20" s="75">
        <f t="shared" si="3"/>
        <v>391899.61</v>
      </c>
      <c r="E20" s="87">
        <v>0</v>
      </c>
      <c r="F20" s="75">
        <v>0</v>
      </c>
      <c r="G20" s="75">
        <v>0</v>
      </c>
      <c r="H20" s="87">
        <v>0</v>
      </c>
      <c r="I20" s="87">
        <v>391899.61</v>
      </c>
      <c r="J20" s="152">
        <v>0</v>
      </c>
      <c r="K20" s="75">
        <v>0</v>
      </c>
      <c r="L20" s="75">
        <v>0</v>
      </c>
      <c r="M20" s="75">
        <v>0</v>
      </c>
      <c r="N20" s="75">
        <v>0</v>
      </c>
      <c r="O20" s="75">
        <v>0</v>
      </c>
      <c r="P20" s="75">
        <v>0</v>
      </c>
      <c r="Q20" s="75">
        <v>0</v>
      </c>
      <c r="R20" s="75">
        <v>0</v>
      </c>
      <c r="S20" s="75">
        <v>0</v>
      </c>
      <c r="T20" s="75">
        <v>0</v>
      </c>
      <c r="U20" s="238"/>
      <c r="V20" s="238"/>
    </row>
    <row r="21" spans="1:35" s="186" customFormat="1" ht="24" customHeight="1" x14ac:dyDescent="0.25">
      <c r="A21" s="25">
        <v>10</v>
      </c>
      <c r="B21" s="34" t="s">
        <v>921</v>
      </c>
      <c r="C21" s="75">
        <f t="shared" si="2"/>
        <v>10953603.43</v>
      </c>
      <c r="D21" s="75">
        <f t="shared" si="3"/>
        <v>3170574</v>
      </c>
      <c r="E21" s="87">
        <v>0</v>
      </c>
      <c r="F21" s="87">
        <v>3170574</v>
      </c>
      <c r="G21" s="87">
        <v>0</v>
      </c>
      <c r="H21" s="87">
        <v>0</v>
      </c>
      <c r="I21" s="75">
        <v>0</v>
      </c>
      <c r="J21" s="152">
        <v>0</v>
      </c>
      <c r="K21" s="75">
        <v>0</v>
      </c>
      <c r="L21" s="87">
        <v>7516156.29</v>
      </c>
      <c r="M21" s="75">
        <v>0</v>
      </c>
      <c r="N21" s="75">
        <v>0</v>
      </c>
      <c r="O21" s="75">
        <v>0</v>
      </c>
      <c r="P21" s="87">
        <v>266873.14</v>
      </c>
      <c r="Q21" s="75">
        <v>0</v>
      </c>
      <c r="R21" s="75">
        <v>0</v>
      </c>
      <c r="S21" s="75">
        <v>0</v>
      </c>
      <c r="T21" s="75">
        <v>0</v>
      </c>
      <c r="U21" s="239"/>
      <c r="V21" s="239"/>
    </row>
    <row r="22" spans="1:35" s="186" customFormat="1" ht="24" customHeight="1" x14ac:dyDescent="0.25">
      <c r="A22" s="25">
        <v>11</v>
      </c>
      <c r="B22" s="34" t="s">
        <v>59</v>
      </c>
      <c r="C22" s="75">
        <f t="shared" si="2"/>
        <v>458721.95</v>
      </c>
      <c r="D22" s="75">
        <f t="shared" si="3"/>
        <v>458721.95</v>
      </c>
      <c r="E22" s="87">
        <v>0</v>
      </c>
      <c r="F22" s="75">
        <v>0</v>
      </c>
      <c r="G22" s="75">
        <v>0</v>
      </c>
      <c r="H22" s="87">
        <v>0</v>
      </c>
      <c r="I22" s="87">
        <v>458721.95</v>
      </c>
      <c r="J22" s="152">
        <v>0</v>
      </c>
      <c r="K22" s="75">
        <v>0</v>
      </c>
      <c r="L22" s="75">
        <v>0</v>
      </c>
      <c r="M22" s="75">
        <v>0</v>
      </c>
      <c r="N22" s="75">
        <v>0</v>
      </c>
      <c r="O22" s="75">
        <v>0</v>
      </c>
      <c r="P22" s="75">
        <v>0</v>
      </c>
      <c r="Q22" s="75">
        <v>0</v>
      </c>
      <c r="R22" s="75">
        <v>0</v>
      </c>
      <c r="S22" s="75">
        <v>0</v>
      </c>
      <c r="T22" s="75">
        <v>0</v>
      </c>
      <c r="U22" s="238"/>
      <c r="V22" s="238"/>
    </row>
    <row r="23" spans="1:35" s="186" customFormat="1" ht="24" customHeight="1" x14ac:dyDescent="0.25">
      <c r="A23" s="25">
        <v>12</v>
      </c>
      <c r="B23" s="34" t="s">
        <v>922</v>
      </c>
      <c r="C23" s="75">
        <f t="shared" si="2"/>
        <v>13855159.6</v>
      </c>
      <c r="D23" s="75">
        <f t="shared" si="3"/>
        <v>4061635.2</v>
      </c>
      <c r="E23" s="87">
        <v>4061635.2</v>
      </c>
      <c r="F23" s="75">
        <v>0</v>
      </c>
      <c r="G23" s="75">
        <v>0</v>
      </c>
      <c r="H23" s="87">
        <v>0</v>
      </c>
      <c r="I23" s="87">
        <v>0</v>
      </c>
      <c r="J23" s="152">
        <v>0</v>
      </c>
      <c r="K23" s="75">
        <v>0</v>
      </c>
      <c r="L23" s="75">
        <v>0</v>
      </c>
      <c r="M23" s="75">
        <v>0</v>
      </c>
      <c r="N23" s="75">
        <v>9504062.9800000004</v>
      </c>
      <c r="O23" s="75">
        <v>0</v>
      </c>
      <c r="P23" s="75">
        <v>289461.42</v>
      </c>
      <c r="Q23" s="75">
        <v>0</v>
      </c>
      <c r="R23" s="75">
        <v>0</v>
      </c>
      <c r="S23" s="75">
        <v>0</v>
      </c>
      <c r="T23" s="75">
        <v>0</v>
      </c>
      <c r="U23" s="238"/>
      <c r="V23" s="238"/>
    </row>
    <row r="24" spans="1:35" s="186" customFormat="1" ht="24" customHeight="1" x14ac:dyDescent="0.25">
      <c r="A24" s="25">
        <v>13</v>
      </c>
      <c r="B24" s="34" t="s">
        <v>923</v>
      </c>
      <c r="C24" s="75">
        <f t="shared" si="2"/>
        <v>3655628.26</v>
      </c>
      <c r="D24" s="75">
        <f t="shared" si="3"/>
        <v>3358034.15</v>
      </c>
      <c r="E24" s="87">
        <v>3358034.15</v>
      </c>
      <c r="F24" s="75">
        <v>0</v>
      </c>
      <c r="G24" s="75">
        <v>0</v>
      </c>
      <c r="H24" s="87">
        <v>0</v>
      </c>
      <c r="I24" s="75">
        <v>0</v>
      </c>
      <c r="J24" s="152">
        <v>0</v>
      </c>
      <c r="K24" s="75">
        <v>0</v>
      </c>
      <c r="L24" s="75">
        <v>0</v>
      </c>
      <c r="M24" s="75">
        <v>0</v>
      </c>
      <c r="N24" s="75">
        <v>0</v>
      </c>
      <c r="O24" s="75">
        <v>0</v>
      </c>
      <c r="P24" s="87">
        <v>297594.11</v>
      </c>
      <c r="Q24" s="75">
        <v>0</v>
      </c>
      <c r="R24" s="75">
        <v>0</v>
      </c>
      <c r="S24" s="75">
        <v>0</v>
      </c>
      <c r="T24" s="75">
        <v>0</v>
      </c>
      <c r="U24" s="238"/>
      <c r="V24" s="238"/>
    </row>
    <row r="25" spans="1:35" s="186" customFormat="1" ht="24" customHeight="1" x14ac:dyDescent="0.25">
      <c r="A25" s="25">
        <v>14</v>
      </c>
      <c r="B25" s="34" t="s">
        <v>924</v>
      </c>
      <c r="C25" s="75">
        <f t="shared" si="2"/>
        <v>4547262.62</v>
      </c>
      <c r="D25" s="75">
        <f t="shared" si="3"/>
        <v>4246092.4000000004</v>
      </c>
      <c r="E25" s="87">
        <v>4246092.4000000004</v>
      </c>
      <c r="F25" s="75">
        <v>0</v>
      </c>
      <c r="G25" s="75">
        <v>0</v>
      </c>
      <c r="H25" s="87">
        <v>0</v>
      </c>
      <c r="I25" s="87">
        <v>0</v>
      </c>
      <c r="J25" s="152">
        <v>0</v>
      </c>
      <c r="K25" s="75">
        <v>0</v>
      </c>
      <c r="L25" s="87">
        <v>0</v>
      </c>
      <c r="M25" s="75">
        <v>0</v>
      </c>
      <c r="N25" s="75">
        <v>0</v>
      </c>
      <c r="O25" s="75">
        <v>0</v>
      </c>
      <c r="P25" s="87">
        <v>301170.21999999997</v>
      </c>
      <c r="Q25" s="75">
        <v>0</v>
      </c>
      <c r="R25" s="75">
        <v>0</v>
      </c>
      <c r="S25" s="75">
        <v>0</v>
      </c>
      <c r="T25" s="75">
        <v>0</v>
      </c>
      <c r="U25" s="238"/>
      <c r="V25" s="238"/>
      <c r="W25" s="40"/>
      <c r="X25" s="40"/>
      <c r="Y25" s="40"/>
      <c r="Z25" s="40"/>
      <c r="AA25" s="40"/>
      <c r="AB25" s="40"/>
      <c r="AC25" s="40"/>
      <c r="AD25" s="40"/>
      <c r="AE25" s="40"/>
      <c r="AF25" s="40"/>
      <c r="AG25" s="40"/>
      <c r="AH25" s="40"/>
      <c r="AI25" s="40"/>
    </row>
    <row r="26" spans="1:35" s="186" customFormat="1" ht="24" customHeight="1" x14ac:dyDescent="0.25">
      <c r="A26" s="25">
        <v>15</v>
      </c>
      <c r="B26" s="34" t="s">
        <v>925</v>
      </c>
      <c r="C26" s="75">
        <f t="shared" si="2"/>
        <v>9757581</v>
      </c>
      <c r="D26" s="75">
        <f t="shared" si="3"/>
        <v>0</v>
      </c>
      <c r="E26" s="87">
        <v>0</v>
      </c>
      <c r="F26" s="75">
        <v>0</v>
      </c>
      <c r="G26" s="87">
        <v>0</v>
      </c>
      <c r="H26" s="87">
        <v>0</v>
      </c>
      <c r="I26" s="87">
        <v>0</v>
      </c>
      <c r="J26" s="152">
        <v>0</v>
      </c>
      <c r="K26" s="75">
        <v>0</v>
      </c>
      <c r="L26" s="75">
        <v>0</v>
      </c>
      <c r="M26" s="75">
        <v>0</v>
      </c>
      <c r="N26" s="87">
        <v>9458188.6999999993</v>
      </c>
      <c r="O26" s="75">
        <v>0</v>
      </c>
      <c r="P26" s="87">
        <v>299392.3</v>
      </c>
      <c r="Q26" s="75">
        <v>0</v>
      </c>
      <c r="R26" s="75">
        <v>0</v>
      </c>
      <c r="S26" s="75">
        <v>0</v>
      </c>
      <c r="T26" s="75">
        <v>0</v>
      </c>
      <c r="U26" s="239"/>
      <c r="V26" s="239"/>
    </row>
    <row r="27" spans="1:35" s="186" customFormat="1" ht="24" customHeight="1" x14ac:dyDescent="0.25">
      <c r="A27" s="25">
        <v>16</v>
      </c>
      <c r="B27" s="34" t="s">
        <v>926</v>
      </c>
      <c r="C27" s="75">
        <f t="shared" si="2"/>
        <v>4739370.8499999996</v>
      </c>
      <c r="D27" s="75">
        <f t="shared" si="3"/>
        <v>4271871.63</v>
      </c>
      <c r="E27" s="87">
        <v>4271871.63</v>
      </c>
      <c r="F27" s="75">
        <v>0</v>
      </c>
      <c r="G27" s="87">
        <v>0</v>
      </c>
      <c r="H27" s="87">
        <v>0</v>
      </c>
      <c r="I27" s="87">
        <v>0</v>
      </c>
      <c r="J27" s="152">
        <v>0</v>
      </c>
      <c r="K27" s="75">
        <v>0</v>
      </c>
      <c r="L27" s="75">
        <v>0</v>
      </c>
      <c r="M27" s="75">
        <v>0</v>
      </c>
      <c r="N27" s="87">
        <v>0</v>
      </c>
      <c r="O27" s="75">
        <v>0</v>
      </c>
      <c r="P27" s="87">
        <f>207661.14+259838.08</f>
        <v>467499.22</v>
      </c>
      <c r="Q27" s="75">
        <v>0</v>
      </c>
      <c r="R27" s="75">
        <v>0</v>
      </c>
      <c r="S27" s="75">
        <v>0</v>
      </c>
      <c r="T27" s="75">
        <v>0</v>
      </c>
      <c r="U27" s="238"/>
      <c r="V27" s="238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</row>
    <row r="28" spans="1:35" s="186" customFormat="1" ht="24" customHeight="1" x14ac:dyDescent="0.25">
      <c r="A28" s="25">
        <v>17</v>
      </c>
      <c r="B28" s="34" t="s">
        <v>67</v>
      </c>
      <c r="C28" s="75">
        <f t="shared" si="2"/>
        <v>2859484.8</v>
      </c>
      <c r="D28" s="75">
        <f t="shared" si="3"/>
        <v>2859484.8</v>
      </c>
      <c r="E28" s="87">
        <v>2859484.8</v>
      </c>
      <c r="F28" s="87">
        <v>0</v>
      </c>
      <c r="G28" s="87">
        <v>0</v>
      </c>
      <c r="H28" s="87">
        <v>0</v>
      </c>
      <c r="I28" s="75">
        <v>0</v>
      </c>
      <c r="J28" s="152">
        <v>0</v>
      </c>
      <c r="K28" s="75">
        <v>0</v>
      </c>
      <c r="L28" s="75">
        <v>0</v>
      </c>
      <c r="M28" s="75">
        <v>0</v>
      </c>
      <c r="N28" s="75">
        <v>0</v>
      </c>
      <c r="O28" s="75">
        <v>0</v>
      </c>
      <c r="P28" s="87">
        <v>0</v>
      </c>
      <c r="Q28" s="75">
        <v>0</v>
      </c>
      <c r="R28" s="75">
        <v>0</v>
      </c>
      <c r="S28" s="75">
        <v>0</v>
      </c>
      <c r="T28" s="75">
        <v>0</v>
      </c>
      <c r="U28" s="239"/>
      <c r="V28" s="239"/>
    </row>
    <row r="29" spans="1:35" s="186" customFormat="1" ht="24" customHeight="1" x14ac:dyDescent="0.25">
      <c r="A29" s="25">
        <v>18</v>
      </c>
      <c r="B29" s="39" t="s">
        <v>927</v>
      </c>
      <c r="C29" s="75">
        <f t="shared" si="2"/>
        <v>5306725.6099999994</v>
      </c>
      <c r="D29" s="75">
        <f t="shared" si="3"/>
        <v>5008368.1199999992</v>
      </c>
      <c r="E29" s="87">
        <v>1861308.74</v>
      </c>
      <c r="F29" s="87">
        <v>0</v>
      </c>
      <c r="G29" s="87">
        <v>2703427.4</v>
      </c>
      <c r="H29" s="87">
        <v>443631.98</v>
      </c>
      <c r="I29" s="87">
        <v>0</v>
      </c>
      <c r="J29" s="152">
        <v>0</v>
      </c>
      <c r="K29" s="75">
        <v>0</v>
      </c>
      <c r="L29" s="75">
        <v>0</v>
      </c>
      <c r="M29" s="75">
        <v>0</v>
      </c>
      <c r="N29" s="87">
        <v>0</v>
      </c>
      <c r="O29" s="75">
        <v>0</v>
      </c>
      <c r="P29" s="87">
        <v>298357.49</v>
      </c>
      <c r="Q29" s="75">
        <v>0</v>
      </c>
      <c r="R29" s="75">
        <v>0</v>
      </c>
      <c r="S29" s="75">
        <v>0</v>
      </c>
      <c r="T29" s="75">
        <v>0</v>
      </c>
      <c r="U29" s="239"/>
      <c r="V29" s="239"/>
    </row>
    <row r="30" spans="1:35" s="186" customFormat="1" ht="24" customHeight="1" x14ac:dyDescent="0.25">
      <c r="A30" s="25">
        <v>19</v>
      </c>
      <c r="B30" s="34" t="s">
        <v>69</v>
      </c>
      <c r="C30" s="75">
        <f t="shared" si="2"/>
        <v>2477673.84</v>
      </c>
      <c r="D30" s="75">
        <f t="shared" si="3"/>
        <v>2477673.84</v>
      </c>
      <c r="E30" s="87">
        <v>2477673.84</v>
      </c>
      <c r="F30" s="75">
        <v>0</v>
      </c>
      <c r="G30" s="75">
        <v>0</v>
      </c>
      <c r="H30" s="87">
        <v>0</v>
      </c>
      <c r="I30" s="75">
        <v>0</v>
      </c>
      <c r="J30" s="152">
        <v>0</v>
      </c>
      <c r="K30" s="75">
        <v>0</v>
      </c>
      <c r="L30" s="75">
        <v>0</v>
      </c>
      <c r="M30" s="75">
        <v>0</v>
      </c>
      <c r="N30" s="87">
        <v>0</v>
      </c>
      <c r="O30" s="75">
        <v>0</v>
      </c>
      <c r="P30" s="87">
        <v>0</v>
      </c>
      <c r="Q30" s="75">
        <v>0</v>
      </c>
      <c r="R30" s="75">
        <v>0</v>
      </c>
      <c r="S30" s="75">
        <v>0</v>
      </c>
      <c r="T30" s="75">
        <v>0</v>
      </c>
      <c r="U30" s="239"/>
      <c r="V30" s="239"/>
    </row>
    <row r="31" spans="1:35" s="186" customFormat="1" ht="24" customHeight="1" x14ac:dyDescent="0.25">
      <c r="A31" s="25">
        <v>20</v>
      </c>
      <c r="B31" s="34" t="s">
        <v>928</v>
      </c>
      <c r="C31" s="75">
        <f t="shared" si="2"/>
        <v>2207923.4299999997</v>
      </c>
      <c r="D31" s="75">
        <f t="shared" si="3"/>
        <v>1565714.4</v>
      </c>
      <c r="E31" s="87">
        <v>1565714.4</v>
      </c>
      <c r="F31" s="87">
        <v>0</v>
      </c>
      <c r="G31" s="87">
        <v>0</v>
      </c>
      <c r="H31" s="87">
        <v>0</v>
      </c>
      <c r="I31" s="87">
        <v>0</v>
      </c>
      <c r="J31" s="152">
        <v>0</v>
      </c>
      <c r="K31" s="75">
        <v>0</v>
      </c>
      <c r="L31" s="75">
        <v>0</v>
      </c>
      <c r="M31" s="75">
        <v>0</v>
      </c>
      <c r="N31" s="87">
        <v>0</v>
      </c>
      <c r="O31" s="75">
        <v>0</v>
      </c>
      <c r="P31" s="87">
        <v>642209.03</v>
      </c>
      <c r="Q31" s="75">
        <v>0</v>
      </c>
      <c r="R31" s="75">
        <v>0</v>
      </c>
      <c r="S31" s="75">
        <v>0</v>
      </c>
      <c r="T31" s="75">
        <v>0</v>
      </c>
      <c r="U31" s="239"/>
      <c r="V31" s="239"/>
    </row>
    <row r="32" spans="1:35" s="186" customFormat="1" ht="24" customHeight="1" x14ac:dyDescent="0.25">
      <c r="A32" s="25">
        <v>21</v>
      </c>
      <c r="B32" s="34" t="s">
        <v>929</v>
      </c>
      <c r="C32" s="75">
        <f t="shared" si="2"/>
        <v>21520750.23</v>
      </c>
      <c r="D32" s="75">
        <f t="shared" si="3"/>
        <v>9102267.1099999994</v>
      </c>
      <c r="E32" s="87">
        <v>0</v>
      </c>
      <c r="F32" s="87">
        <v>9102267.1099999994</v>
      </c>
      <c r="G32" s="87">
        <v>0</v>
      </c>
      <c r="H32" s="87">
        <v>0</v>
      </c>
      <c r="I32" s="75">
        <v>0</v>
      </c>
      <c r="J32" s="152">
        <v>0</v>
      </c>
      <c r="K32" s="75">
        <v>0</v>
      </c>
      <c r="L32" s="75">
        <v>0</v>
      </c>
      <c r="M32" s="75">
        <v>0</v>
      </c>
      <c r="N32" s="87">
        <v>11782164</v>
      </c>
      <c r="O32" s="75">
        <v>0</v>
      </c>
      <c r="P32" s="87">
        <f>325603.07+310716.05</f>
        <v>636319.12</v>
      </c>
      <c r="Q32" s="75">
        <v>0</v>
      </c>
      <c r="R32" s="75">
        <v>0</v>
      </c>
      <c r="S32" s="75">
        <v>0</v>
      </c>
      <c r="T32" s="75">
        <v>0</v>
      </c>
      <c r="U32" s="239"/>
      <c r="V32" s="239"/>
    </row>
    <row r="33" spans="1:22" s="186" customFormat="1" ht="24" customHeight="1" x14ac:dyDescent="0.25">
      <c r="A33" s="25">
        <v>22</v>
      </c>
      <c r="B33" s="34" t="s">
        <v>73</v>
      </c>
      <c r="C33" s="75">
        <f t="shared" si="2"/>
        <v>2497643.7799999998</v>
      </c>
      <c r="D33" s="75">
        <f t="shared" si="3"/>
        <v>2497643.7799999998</v>
      </c>
      <c r="E33" s="87">
        <v>2497643.7799999998</v>
      </c>
      <c r="F33" s="75">
        <v>0</v>
      </c>
      <c r="G33" s="87">
        <v>0</v>
      </c>
      <c r="H33" s="87">
        <v>0</v>
      </c>
      <c r="I33" s="75">
        <v>0</v>
      </c>
      <c r="J33" s="152">
        <v>0</v>
      </c>
      <c r="K33" s="75">
        <v>0</v>
      </c>
      <c r="L33" s="75">
        <v>0</v>
      </c>
      <c r="M33" s="75">
        <v>0</v>
      </c>
      <c r="N33" s="75">
        <v>0</v>
      </c>
      <c r="O33" s="75">
        <v>0</v>
      </c>
      <c r="P33" s="87">
        <v>0</v>
      </c>
      <c r="Q33" s="75">
        <v>0</v>
      </c>
      <c r="R33" s="75">
        <v>0</v>
      </c>
      <c r="S33" s="75">
        <v>0</v>
      </c>
      <c r="T33" s="75">
        <v>0</v>
      </c>
      <c r="U33" s="238"/>
      <c r="V33" s="238"/>
    </row>
    <row r="34" spans="1:22" s="186" customFormat="1" ht="24" customHeight="1" x14ac:dyDescent="0.25">
      <c r="A34" s="25">
        <v>23</v>
      </c>
      <c r="B34" s="34" t="s">
        <v>930</v>
      </c>
      <c r="C34" s="75">
        <f t="shared" si="2"/>
        <v>210912.43</v>
      </c>
      <c r="D34" s="75">
        <f t="shared" si="3"/>
        <v>0</v>
      </c>
      <c r="E34" s="87">
        <v>0</v>
      </c>
      <c r="F34" s="87">
        <v>0</v>
      </c>
      <c r="G34" s="75">
        <v>0</v>
      </c>
      <c r="H34" s="87">
        <v>0</v>
      </c>
      <c r="I34" s="87">
        <v>0</v>
      </c>
      <c r="J34" s="152">
        <v>0</v>
      </c>
      <c r="K34" s="75">
        <v>0</v>
      </c>
      <c r="L34" s="75">
        <v>0</v>
      </c>
      <c r="M34" s="75">
        <v>0</v>
      </c>
      <c r="N34" s="87">
        <v>0</v>
      </c>
      <c r="O34" s="75">
        <v>0</v>
      </c>
      <c r="P34" s="75">
        <v>210912.43</v>
      </c>
      <c r="Q34" s="75">
        <v>0</v>
      </c>
      <c r="R34" s="75">
        <v>0</v>
      </c>
      <c r="S34" s="75">
        <v>0</v>
      </c>
      <c r="T34" s="75">
        <v>0</v>
      </c>
      <c r="U34" s="238"/>
      <c r="V34" s="238"/>
    </row>
    <row r="35" spans="1:22" s="186" customFormat="1" ht="24" customHeight="1" x14ac:dyDescent="0.25">
      <c r="A35" s="25">
        <v>24</v>
      </c>
      <c r="B35" s="34" t="s">
        <v>931</v>
      </c>
      <c r="C35" s="75">
        <f t="shared" si="2"/>
        <v>257335.74</v>
      </c>
      <c r="D35" s="75">
        <f t="shared" si="3"/>
        <v>0</v>
      </c>
      <c r="E35" s="87">
        <v>0</v>
      </c>
      <c r="F35" s="75">
        <v>0</v>
      </c>
      <c r="G35" s="75">
        <v>0</v>
      </c>
      <c r="H35" s="87">
        <v>0</v>
      </c>
      <c r="I35" s="75">
        <v>0</v>
      </c>
      <c r="J35" s="152">
        <v>0</v>
      </c>
      <c r="K35" s="75">
        <v>0</v>
      </c>
      <c r="L35" s="87">
        <v>0</v>
      </c>
      <c r="M35" s="75">
        <v>0</v>
      </c>
      <c r="N35" s="75">
        <v>0</v>
      </c>
      <c r="O35" s="75">
        <v>0</v>
      </c>
      <c r="P35" s="87">
        <v>257335.74</v>
      </c>
      <c r="Q35" s="75">
        <v>0</v>
      </c>
      <c r="R35" s="75">
        <v>0</v>
      </c>
      <c r="S35" s="75">
        <v>0</v>
      </c>
      <c r="T35" s="75">
        <v>0</v>
      </c>
      <c r="U35" s="239"/>
      <c r="V35" s="239"/>
    </row>
    <row r="36" spans="1:22" s="186" customFormat="1" ht="24" customHeight="1" x14ac:dyDescent="0.25">
      <c r="A36" s="25">
        <v>25</v>
      </c>
      <c r="B36" s="34" t="s">
        <v>932</v>
      </c>
      <c r="C36" s="75">
        <f t="shared" si="2"/>
        <v>260604.32</v>
      </c>
      <c r="D36" s="75">
        <f t="shared" si="3"/>
        <v>0</v>
      </c>
      <c r="E36" s="87">
        <v>0</v>
      </c>
      <c r="F36" s="75">
        <v>0</v>
      </c>
      <c r="G36" s="75">
        <v>0</v>
      </c>
      <c r="H36" s="87">
        <v>0</v>
      </c>
      <c r="I36" s="75">
        <v>0</v>
      </c>
      <c r="J36" s="152">
        <v>0</v>
      </c>
      <c r="K36" s="75">
        <v>0</v>
      </c>
      <c r="L36" s="75">
        <v>0</v>
      </c>
      <c r="M36" s="75">
        <v>0</v>
      </c>
      <c r="N36" s="87">
        <v>0</v>
      </c>
      <c r="O36" s="75">
        <v>0</v>
      </c>
      <c r="P36" s="87">
        <v>260604.32</v>
      </c>
      <c r="Q36" s="75">
        <v>0</v>
      </c>
      <c r="R36" s="75">
        <v>0</v>
      </c>
      <c r="S36" s="75">
        <v>0</v>
      </c>
      <c r="T36" s="75">
        <v>0</v>
      </c>
      <c r="U36" s="238"/>
      <c r="V36" s="238"/>
    </row>
    <row r="37" spans="1:22" s="186" customFormat="1" ht="24" customHeight="1" x14ac:dyDescent="0.25">
      <c r="A37" s="25">
        <v>26</v>
      </c>
      <c r="B37" s="34" t="s">
        <v>933</v>
      </c>
      <c r="C37" s="75">
        <f t="shared" si="2"/>
        <v>254122.85</v>
      </c>
      <c r="D37" s="75">
        <f t="shared" si="3"/>
        <v>0</v>
      </c>
      <c r="E37" s="87">
        <v>0</v>
      </c>
      <c r="F37" s="75">
        <v>0</v>
      </c>
      <c r="G37" s="75">
        <v>0</v>
      </c>
      <c r="H37" s="87">
        <v>0</v>
      </c>
      <c r="I37" s="75">
        <v>0</v>
      </c>
      <c r="J37" s="152">
        <v>0</v>
      </c>
      <c r="K37" s="75">
        <v>0</v>
      </c>
      <c r="L37" s="87">
        <v>0</v>
      </c>
      <c r="M37" s="75">
        <v>0</v>
      </c>
      <c r="N37" s="75">
        <v>0</v>
      </c>
      <c r="O37" s="75">
        <v>0</v>
      </c>
      <c r="P37" s="87">
        <v>254122.85</v>
      </c>
      <c r="Q37" s="75">
        <v>0</v>
      </c>
      <c r="R37" s="75">
        <v>0</v>
      </c>
      <c r="S37" s="75">
        <v>0</v>
      </c>
      <c r="T37" s="75">
        <v>0</v>
      </c>
      <c r="U37" s="239"/>
      <c r="V37" s="239"/>
    </row>
    <row r="38" spans="1:22" s="186" customFormat="1" ht="24" customHeight="1" x14ac:dyDescent="0.25">
      <c r="A38" s="25">
        <v>27</v>
      </c>
      <c r="B38" s="34" t="s">
        <v>934</v>
      </c>
      <c r="C38" s="75">
        <f t="shared" si="2"/>
        <v>9222817.9900000002</v>
      </c>
      <c r="D38" s="75">
        <f t="shared" si="3"/>
        <v>0</v>
      </c>
      <c r="E38" s="87">
        <v>0</v>
      </c>
      <c r="F38" s="87">
        <v>0</v>
      </c>
      <c r="G38" s="87">
        <v>0</v>
      </c>
      <c r="H38" s="87">
        <v>0</v>
      </c>
      <c r="I38" s="75">
        <v>0</v>
      </c>
      <c r="J38" s="152">
        <v>0</v>
      </c>
      <c r="K38" s="75">
        <v>0</v>
      </c>
      <c r="L38" s="87">
        <v>8755801.3900000006</v>
      </c>
      <c r="M38" s="75">
        <v>0</v>
      </c>
      <c r="N38" s="75">
        <v>0</v>
      </c>
      <c r="O38" s="75">
        <v>0</v>
      </c>
      <c r="P38" s="87">
        <f>275867.2+191149.4</f>
        <v>467016.6</v>
      </c>
      <c r="Q38" s="75">
        <v>0</v>
      </c>
      <c r="R38" s="75">
        <v>0</v>
      </c>
      <c r="S38" s="75">
        <v>0</v>
      </c>
      <c r="T38" s="75">
        <v>0</v>
      </c>
      <c r="U38" s="239"/>
      <c r="V38" s="239"/>
    </row>
    <row r="39" spans="1:22" s="186" customFormat="1" ht="24" customHeight="1" x14ac:dyDescent="0.25">
      <c r="A39" s="25">
        <v>28</v>
      </c>
      <c r="B39" s="34" t="s">
        <v>935</v>
      </c>
      <c r="C39" s="75">
        <f t="shared" si="2"/>
        <v>15219489.770000001</v>
      </c>
      <c r="D39" s="75">
        <f t="shared" si="3"/>
        <v>5167955.59</v>
      </c>
      <c r="E39" s="87">
        <v>0</v>
      </c>
      <c r="F39" s="87">
        <v>5167955.59</v>
      </c>
      <c r="G39" s="87">
        <v>0</v>
      </c>
      <c r="H39" s="87">
        <v>0</v>
      </c>
      <c r="I39" s="75">
        <v>0</v>
      </c>
      <c r="J39" s="152">
        <v>0</v>
      </c>
      <c r="K39" s="75">
        <v>0</v>
      </c>
      <c r="L39" s="87">
        <v>9478378.4600000009</v>
      </c>
      <c r="M39" s="75">
        <v>0</v>
      </c>
      <c r="N39" s="87">
        <v>0</v>
      </c>
      <c r="O39" s="75">
        <v>0</v>
      </c>
      <c r="P39" s="87">
        <f>296289.41+276866.31</f>
        <v>573155.72</v>
      </c>
      <c r="Q39" s="75">
        <v>0</v>
      </c>
      <c r="R39" s="75">
        <v>0</v>
      </c>
      <c r="S39" s="75">
        <v>0</v>
      </c>
      <c r="T39" s="75">
        <v>0</v>
      </c>
      <c r="U39" s="239"/>
      <c r="V39" s="239"/>
    </row>
    <row r="40" spans="1:22" s="186" customFormat="1" ht="24" customHeight="1" x14ac:dyDescent="0.25">
      <c r="A40" s="25">
        <v>29</v>
      </c>
      <c r="B40" s="34" t="s">
        <v>936</v>
      </c>
      <c r="C40" s="75">
        <f t="shared" si="2"/>
        <v>2438379.8000000003</v>
      </c>
      <c r="D40" s="75">
        <f t="shared" si="3"/>
        <v>2177283.83</v>
      </c>
      <c r="E40" s="87">
        <v>2177283.83</v>
      </c>
      <c r="F40" s="87">
        <v>0</v>
      </c>
      <c r="G40" s="87">
        <v>0</v>
      </c>
      <c r="H40" s="87">
        <v>0</v>
      </c>
      <c r="I40" s="87">
        <v>0</v>
      </c>
      <c r="J40" s="152">
        <v>0</v>
      </c>
      <c r="K40" s="75">
        <v>0</v>
      </c>
      <c r="L40" s="75">
        <v>0</v>
      </c>
      <c r="M40" s="87">
        <v>0</v>
      </c>
      <c r="N40" s="75">
        <v>0</v>
      </c>
      <c r="O40" s="75">
        <v>0</v>
      </c>
      <c r="P40" s="87">
        <v>261095.97</v>
      </c>
      <c r="Q40" s="75">
        <v>0</v>
      </c>
      <c r="R40" s="75">
        <v>0</v>
      </c>
      <c r="S40" s="75">
        <v>0</v>
      </c>
      <c r="T40" s="75">
        <v>0</v>
      </c>
      <c r="U40" s="238"/>
      <c r="V40" s="238"/>
    </row>
    <row r="41" spans="1:22" s="186" customFormat="1" ht="24" customHeight="1" x14ac:dyDescent="0.25">
      <c r="A41" s="25">
        <v>30</v>
      </c>
      <c r="B41" s="34" t="s">
        <v>84</v>
      </c>
      <c r="C41" s="75">
        <f t="shared" si="2"/>
        <v>2126097.61</v>
      </c>
      <c r="D41" s="75">
        <f t="shared" si="3"/>
        <v>2126097.61</v>
      </c>
      <c r="E41" s="87">
        <v>2126097.61</v>
      </c>
      <c r="F41" s="75">
        <v>0</v>
      </c>
      <c r="G41" s="75">
        <v>0</v>
      </c>
      <c r="H41" s="87">
        <v>0</v>
      </c>
      <c r="I41" s="75">
        <v>0</v>
      </c>
      <c r="J41" s="152">
        <v>0</v>
      </c>
      <c r="K41" s="87">
        <v>0</v>
      </c>
      <c r="L41" s="75">
        <v>0</v>
      </c>
      <c r="M41" s="75">
        <v>0</v>
      </c>
      <c r="N41" s="75">
        <v>0</v>
      </c>
      <c r="O41" s="75">
        <v>0</v>
      </c>
      <c r="P41" s="75">
        <v>0</v>
      </c>
      <c r="Q41" s="75">
        <v>0</v>
      </c>
      <c r="R41" s="75">
        <v>0</v>
      </c>
      <c r="S41" s="75">
        <v>0</v>
      </c>
      <c r="T41" s="75">
        <v>0</v>
      </c>
      <c r="U41" s="239"/>
      <c r="V41" s="239"/>
    </row>
    <row r="42" spans="1:22" s="186" customFormat="1" ht="24" customHeight="1" x14ac:dyDescent="0.25">
      <c r="A42" s="25">
        <v>31</v>
      </c>
      <c r="B42" s="34" t="s">
        <v>87</v>
      </c>
      <c r="C42" s="75">
        <f t="shared" si="2"/>
        <v>12828640.93</v>
      </c>
      <c r="D42" s="75">
        <f t="shared" si="3"/>
        <v>0</v>
      </c>
      <c r="E42" s="87">
        <v>0</v>
      </c>
      <c r="F42" s="75">
        <v>0</v>
      </c>
      <c r="G42" s="75">
        <v>0</v>
      </c>
      <c r="H42" s="87">
        <v>0</v>
      </c>
      <c r="I42" s="75">
        <v>0</v>
      </c>
      <c r="J42" s="152">
        <v>4</v>
      </c>
      <c r="K42" s="87">
        <v>12828640.93</v>
      </c>
      <c r="L42" s="75">
        <v>0</v>
      </c>
      <c r="M42" s="75">
        <v>0</v>
      </c>
      <c r="N42" s="75">
        <v>0</v>
      </c>
      <c r="O42" s="75">
        <v>0</v>
      </c>
      <c r="P42" s="75">
        <v>0</v>
      </c>
      <c r="Q42" s="75">
        <v>0</v>
      </c>
      <c r="R42" s="75">
        <v>0</v>
      </c>
      <c r="S42" s="75">
        <v>0</v>
      </c>
      <c r="T42" s="75">
        <v>0</v>
      </c>
      <c r="U42" s="239"/>
      <c r="V42" s="239"/>
    </row>
    <row r="43" spans="1:22" s="186" customFormat="1" ht="24" customHeight="1" x14ac:dyDescent="0.25">
      <c r="A43" s="25">
        <v>32</v>
      </c>
      <c r="B43" s="34" t="s">
        <v>89</v>
      </c>
      <c r="C43" s="75">
        <f t="shared" si="2"/>
        <v>8751660</v>
      </c>
      <c r="D43" s="75">
        <f t="shared" si="3"/>
        <v>0</v>
      </c>
      <c r="E43" s="87">
        <v>0</v>
      </c>
      <c r="F43" s="75">
        <v>0</v>
      </c>
      <c r="G43" s="75">
        <v>0</v>
      </c>
      <c r="H43" s="87">
        <v>0</v>
      </c>
      <c r="I43" s="75">
        <v>0</v>
      </c>
      <c r="J43" s="152">
        <v>3</v>
      </c>
      <c r="K43" s="87">
        <v>8751660</v>
      </c>
      <c r="L43" s="75">
        <v>0</v>
      </c>
      <c r="M43" s="75">
        <v>0</v>
      </c>
      <c r="N43" s="75">
        <v>0</v>
      </c>
      <c r="O43" s="75">
        <v>0</v>
      </c>
      <c r="P43" s="75">
        <v>0</v>
      </c>
      <c r="Q43" s="75">
        <v>0</v>
      </c>
      <c r="R43" s="75">
        <v>0</v>
      </c>
      <c r="S43" s="75">
        <v>0</v>
      </c>
      <c r="T43" s="75">
        <v>0</v>
      </c>
      <c r="U43" s="239"/>
      <c r="V43" s="239"/>
    </row>
    <row r="44" spans="1:22" s="186" customFormat="1" ht="24" customHeight="1" x14ac:dyDescent="0.25">
      <c r="A44" s="25">
        <v>33</v>
      </c>
      <c r="B44" s="34" t="s">
        <v>937</v>
      </c>
      <c r="C44" s="75">
        <f t="shared" si="2"/>
        <v>265575.2</v>
      </c>
      <c r="D44" s="75">
        <f t="shared" si="3"/>
        <v>0</v>
      </c>
      <c r="E44" s="87">
        <v>0</v>
      </c>
      <c r="F44" s="87">
        <v>0</v>
      </c>
      <c r="G44" s="87">
        <v>0</v>
      </c>
      <c r="H44" s="87">
        <v>0</v>
      </c>
      <c r="I44" s="87">
        <v>0</v>
      </c>
      <c r="J44" s="152">
        <v>0</v>
      </c>
      <c r="K44" s="75">
        <v>0</v>
      </c>
      <c r="L44" s="75">
        <v>0</v>
      </c>
      <c r="M44" s="75">
        <v>0</v>
      </c>
      <c r="N44" s="87">
        <v>0</v>
      </c>
      <c r="O44" s="75">
        <v>0</v>
      </c>
      <c r="P44" s="87">
        <v>265575.2</v>
      </c>
      <c r="Q44" s="75">
        <v>0</v>
      </c>
      <c r="R44" s="75">
        <v>0</v>
      </c>
      <c r="S44" s="75">
        <v>0</v>
      </c>
      <c r="T44" s="75">
        <v>0</v>
      </c>
      <c r="U44" s="239"/>
      <c r="V44" s="239"/>
    </row>
    <row r="45" spans="1:22" s="186" customFormat="1" ht="24" customHeight="1" x14ac:dyDescent="0.25">
      <c r="A45" s="25">
        <v>34</v>
      </c>
      <c r="B45" s="39" t="s">
        <v>94</v>
      </c>
      <c r="C45" s="75">
        <f t="shared" si="2"/>
        <v>6058818.71</v>
      </c>
      <c r="D45" s="75">
        <f t="shared" si="3"/>
        <v>6058818.71</v>
      </c>
      <c r="E45" s="87">
        <v>0</v>
      </c>
      <c r="F45" s="87">
        <v>3905147.88</v>
      </c>
      <c r="G45" s="87">
        <v>1132752</v>
      </c>
      <c r="H45" s="87">
        <v>610309.14</v>
      </c>
      <c r="I45" s="87">
        <v>410609.69</v>
      </c>
      <c r="J45" s="152">
        <v>0</v>
      </c>
      <c r="K45" s="75">
        <v>0</v>
      </c>
      <c r="L45" s="75">
        <v>0</v>
      </c>
      <c r="M45" s="75">
        <v>0</v>
      </c>
      <c r="N45" s="75">
        <v>0</v>
      </c>
      <c r="O45" s="75">
        <v>0</v>
      </c>
      <c r="P45" s="87">
        <v>0</v>
      </c>
      <c r="Q45" s="75">
        <v>0</v>
      </c>
      <c r="R45" s="75">
        <v>0</v>
      </c>
      <c r="S45" s="75">
        <v>0</v>
      </c>
      <c r="T45" s="75">
        <v>0</v>
      </c>
      <c r="U45" s="238"/>
      <c r="V45" s="238"/>
    </row>
    <row r="46" spans="1:22" s="186" customFormat="1" ht="24" customHeight="1" x14ac:dyDescent="0.25">
      <c r="A46" s="25">
        <v>35</v>
      </c>
      <c r="B46" s="34" t="s">
        <v>95</v>
      </c>
      <c r="C46" s="75">
        <f t="shared" si="2"/>
        <v>1301702.3999999999</v>
      </c>
      <c r="D46" s="75">
        <f t="shared" si="3"/>
        <v>1301702.3999999999</v>
      </c>
      <c r="E46" s="87">
        <v>0</v>
      </c>
      <c r="F46" s="75">
        <v>0</v>
      </c>
      <c r="G46" s="87">
        <v>1301702.3999999999</v>
      </c>
      <c r="H46" s="87">
        <v>0</v>
      </c>
      <c r="I46" s="75">
        <v>0</v>
      </c>
      <c r="J46" s="152">
        <v>0</v>
      </c>
      <c r="K46" s="75">
        <v>0</v>
      </c>
      <c r="L46" s="75">
        <v>0</v>
      </c>
      <c r="M46" s="75">
        <v>0</v>
      </c>
      <c r="N46" s="75">
        <v>0</v>
      </c>
      <c r="O46" s="75">
        <v>0</v>
      </c>
      <c r="P46" s="75">
        <v>0</v>
      </c>
      <c r="Q46" s="75">
        <v>0</v>
      </c>
      <c r="R46" s="75">
        <v>0</v>
      </c>
      <c r="S46" s="75">
        <v>0</v>
      </c>
      <c r="T46" s="75">
        <v>0</v>
      </c>
      <c r="U46" s="238"/>
      <c r="V46" s="238"/>
    </row>
    <row r="47" spans="1:22" s="186" customFormat="1" ht="24" customHeight="1" x14ac:dyDescent="0.25">
      <c r="A47" s="25">
        <v>36</v>
      </c>
      <c r="B47" s="39" t="s">
        <v>938</v>
      </c>
      <c r="C47" s="75">
        <f t="shared" si="2"/>
        <v>2742180</v>
      </c>
      <c r="D47" s="75">
        <f t="shared" si="3"/>
        <v>2531105.34</v>
      </c>
      <c r="E47" s="87">
        <v>2531105.34</v>
      </c>
      <c r="F47" s="87">
        <v>0</v>
      </c>
      <c r="G47" s="87">
        <v>0</v>
      </c>
      <c r="H47" s="87">
        <v>0</v>
      </c>
      <c r="I47" s="87">
        <v>0</v>
      </c>
      <c r="J47" s="240">
        <v>0</v>
      </c>
      <c r="K47" s="87">
        <v>0</v>
      </c>
      <c r="L47" s="87">
        <v>0</v>
      </c>
      <c r="M47" s="87">
        <v>0</v>
      </c>
      <c r="N47" s="87">
        <v>0</v>
      </c>
      <c r="O47" s="87">
        <v>0</v>
      </c>
      <c r="P47" s="87">
        <v>211074.66</v>
      </c>
      <c r="Q47" s="87">
        <v>0</v>
      </c>
      <c r="R47" s="87">
        <v>0</v>
      </c>
      <c r="S47" s="87">
        <v>0</v>
      </c>
      <c r="T47" s="87">
        <v>0</v>
      </c>
      <c r="U47" s="238"/>
      <c r="V47" s="238"/>
    </row>
    <row r="48" spans="1:22" s="186" customFormat="1" ht="24" customHeight="1" x14ac:dyDescent="0.25">
      <c r="A48" s="25">
        <v>37</v>
      </c>
      <c r="B48" s="39" t="s">
        <v>939</v>
      </c>
      <c r="C48" s="75">
        <f t="shared" si="2"/>
        <v>473467.07999999996</v>
      </c>
      <c r="D48" s="75">
        <f t="shared" si="3"/>
        <v>304154.43</v>
      </c>
      <c r="E48" s="87">
        <v>304154.43</v>
      </c>
      <c r="F48" s="87">
        <v>0</v>
      </c>
      <c r="G48" s="87">
        <v>0</v>
      </c>
      <c r="H48" s="87">
        <v>0</v>
      </c>
      <c r="I48" s="87">
        <v>0</v>
      </c>
      <c r="J48" s="240">
        <v>0</v>
      </c>
      <c r="K48" s="87">
        <v>0</v>
      </c>
      <c r="L48" s="87">
        <v>0</v>
      </c>
      <c r="M48" s="87">
        <v>0</v>
      </c>
      <c r="N48" s="87">
        <v>0</v>
      </c>
      <c r="O48" s="87">
        <v>0</v>
      </c>
      <c r="P48" s="87">
        <v>169312.65</v>
      </c>
      <c r="Q48" s="87">
        <v>0</v>
      </c>
      <c r="R48" s="87">
        <v>0</v>
      </c>
      <c r="S48" s="87">
        <v>0</v>
      </c>
      <c r="T48" s="87">
        <v>0</v>
      </c>
      <c r="U48" s="238"/>
      <c r="V48" s="238"/>
    </row>
    <row r="49" spans="1:22" s="186" customFormat="1" ht="24" customHeight="1" x14ac:dyDescent="0.25">
      <c r="A49" s="25">
        <v>38</v>
      </c>
      <c r="B49" s="39" t="s">
        <v>940</v>
      </c>
      <c r="C49" s="75">
        <f t="shared" si="2"/>
        <v>423649.33</v>
      </c>
      <c r="D49" s="75">
        <f t="shared" si="3"/>
        <v>267529.08</v>
      </c>
      <c r="E49" s="87">
        <v>267529.08</v>
      </c>
      <c r="F49" s="87">
        <v>0</v>
      </c>
      <c r="G49" s="87">
        <v>0</v>
      </c>
      <c r="H49" s="87">
        <v>0</v>
      </c>
      <c r="I49" s="87">
        <v>0</v>
      </c>
      <c r="J49" s="240">
        <v>0</v>
      </c>
      <c r="K49" s="87">
        <v>0</v>
      </c>
      <c r="L49" s="87">
        <v>0</v>
      </c>
      <c r="M49" s="87">
        <v>0</v>
      </c>
      <c r="N49" s="87">
        <v>0</v>
      </c>
      <c r="O49" s="87">
        <v>0</v>
      </c>
      <c r="P49" s="87">
        <v>156120.25</v>
      </c>
      <c r="Q49" s="87">
        <v>0</v>
      </c>
      <c r="R49" s="87">
        <v>0</v>
      </c>
      <c r="S49" s="87">
        <v>0</v>
      </c>
      <c r="T49" s="87">
        <v>0</v>
      </c>
      <c r="U49" s="238"/>
      <c r="V49" s="238"/>
    </row>
    <row r="50" spans="1:22" s="186" customFormat="1" ht="24" customHeight="1" x14ac:dyDescent="0.25">
      <c r="A50" s="25">
        <v>39</v>
      </c>
      <c r="B50" s="39" t="s">
        <v>941</v>
      </c>
      <c r="C50" s="75">
        <f t="shared" si="2"/>
        <v>426814.43000000005</v>
      </c>
      <c r="D50" s="75">
        <f t="shared" si="3"/>
        <v>267529.08</v>
      </c>
      <c r="E50" s="87">
        <v>267529.08</v>
      </c>
      <c r="F50" s="87">
        <v>0</v>
      </c>
      <c r="G50" s="87">
        <v>0</v>
      </c>
      <c r="H50" s="87">
        <v>0</v>
      </c>
      <c r="I50" s="87">
        <v>0</v>
      </c>
      <c r="J50" s="240">
        <v>0</v>
      </c>
      <c r="K50" s="87">
        <v>0</v>
      </c>
      <c r="L50" s="87">
        <v>0</v>
      </c>
      <c r="M50" s="87">
        <v>0</v>
      </c>
      <c r="N50" s="87">
        <v>0</v>
      </c>
      <c r="O50" s="87">
        <v>0</v>
      </c>
      <c r="P50" s="87">
        <v>159285.35</v>
      </c>
      <c r="Q50" s="87">
        <v>0</v>
      </c>
      <c r="R50" s="87">
        <v>0</v>
      </c>
      <c r="S50" s="87">
        <v>0</v>
      </c>
      <c r="T50" s="87">
        <v>0</v>
      </c>
      <c r="U50" s="238"/>
      <c r="V50" s="238"/>
    </row>
    <row r="51" spans="1:22" s="186" customFormat="1" ht="24" customHeight="1" x14ac:dyDescent="0.25">
      <c r="A51" s="25">
        <v>40</v>
      </c>
      <c r="B51" s="39" t="s">
        <v>100</v>
      </c>
      <c r="C51" s="75">
        <f t="shared" si="2"/>
        <v>487666.6</v>
      </c>
      <c r="D51" s="75">
        <f t="shared" si="3"/>
        <v>487666.6</v>
      </c>
      <c r="E51" s="87">
        <v>487666.6</v>
      </c>
      <c r="F51" s="87">
        <v>0</v>
      </c>
      <c r="G51" s="87">
        <v>0</v>
      </c>
      <c r="H51" s="87">
        <v>0</v>
      </c>
      <c r="I51" s="87">
        <v>0</v>
      </c>
      <c r="J51" s="240">
        <v>0</v>
      </c>
      <c r="K51" s="87">
        <v>0</v>
      </c>
      <c r="L51" s="87">
        <v>0</v>
      </c>
      <c r="M51" s="87">
        <v>0</v>
      </c>
      <c r="N51" s="87">
        <v>0</v>
      </c>
      <c r="O51" s="87">
        <v>0</v>
      </c>
      <c r="P51" s="87">
        <v>0</v>
      </c>
      <c r="Q51" s="87">
        <v>0</v>
      </c>
      <c r="R51" s="87">
        <v>0</v>
      </c>
      <c r="S51" s="87">
        <v>0</v>
      </c>
      <c r="T51" s="87">
        <v>0</v>
      </c>
      <c r="U51" s="238"/>
      <c r="V51" s="238"/>
    </row>
    <row r="52" spans="1:22" s="186" customFormat="1" ht="24" customHeight="1" x14ac:dyDescent="0.25">
      <c r="A52" s="25">
        <v>41</v>
      </c>
      <c r="B52" s="39" t="s">
        <v>101</v>
      </c>
      <c r="C52" s="75">
        <f t="shared" si="2"/>
        <v>478271.48</v>
      </c>
      <c r="D52" s="75">
        <f t="shared" si="3"/>
        <v>478271.48</v>
      </c>
      <c r="E52" s="87">
        <v>478271.48</v>
      </c>
      <c r="F52" s="87">
        <v>0</v>
      </c>
      <c r="G52" s="87">
        <v>0</v>
      </c>
      <c r="H52" s="87">
        <v>0</v>
      </c>
      <c r="I52" s="87">
        <v>0</v>
      </c>
      <c r="J52" s="240">
        <v>0</v>
      </c>
      <c r="K52" s="87">
        <v>0</v>
      </c>
      <c r="L52" s="87">
        <v>0</v>
      </c>
      <c r="M52" s="87">
        <v>0</v>
      </c>
      <c r="N52" s="87">
        <v>0</v>
      </c>
      <c r="O52" s="87">
        <v>0</v>
      </c>
      <c r="P52" s="87">
        <v>0</v>
      </c>
      <c r="Q52" s="87">
        <v>0</v>
      </c>
      <c r="R52" s="87">
        <v>0</v>
      </c>
      <c r="S52" s="87">
        <v>0</v>
      </c>
      <c r="T52" s="87">
        <v>0</v>
      </c>
      <c r="U52" s="238"/>
      <c r="V52" s="238"/>
    </row>
    <row r="53" spans="1:22" s="186" customFormat="1" ht="24" customHeight="1" x14ac:dyDescent="0.25">
      <c r="A53" s="25">
        <v>42</v>
      </c>
      <c r="B53" s="39" t="s">
        <v>102</v>
      </c>
      <c r="C53" s="75">
        <f t="shared" si="2"/>
        <v>559664</v>
      </c>
      <c r="D53" s="75">
        <f t="shared" si="3"/>
        <v>559664</v>
      </c>
      <c r="E53" s="87">
        <v>559664</v>
      </c>
      <c r="F53" s="87">
        <v>0</v>
      </c>
      <c r="G53" s="87">
        <v>0</v>
      </c>
      <c r="H53" s="87">
        <v>0</v>
      </c>
      <c r="I53" s="87">
        <v>0</v>
      </c>
      <c r="J53" s="240">
        <v>0</v>
      </c>
      <c r="K53" s="87">
        <v>0</v>
      </c>
      <c r="L53" s="87">
        <v>0</v>
      </c>
      <c r="M53" s="87">
        <v>0</v>
      </c>
      <c r="N53" s="87">
        <v>0</v>
      </c>
      <c r="O53" s="87">
        <v>0</v>
      </c>
      <c r="P53" s="87">
        <v>0</v>
      </c>
      <c r="Q53" s="87">
        <v>0</v>
      </c>
      <c r="R53" s="87">
        <v>0</v>
      </c>
      <c r="S53" s="87">
        <v>0</v>
      </c>
      <c r="T53" s="87">
        <v>0</v>
      </c>
      <c r="U53" s="238"/>
      <c r="V53" s="238"/>
    </row>
    <row r="54" spans="1:22" s="186" customFormat="1" ht="24" customHeight="1" x14ac:dyDescent="0.25">
      <c r="A54" s="25">
        <v>43</v>
      </c>
      <c r="B54" s="34" t="s">
        <v>103</v>
      </c>
      <c r="C54" s="75">
        <f t="shared" si="2"/>
        <v>34052018.460000001</v>
      </c>
      <c r="D54" s="75">
        <f t="shared" si="3"/>
        <v>0</v>
      </c>
      <c r="E54" s="87">
        <v>0</v>
      </c>
      <c r="F54" s="87">
        <v>0</v>
      </c>
      <c r="G54" s="87">
        <v>0</v>
      </c>
      <c r="H54" s="87">
        <v>0</v>
      </c>
      <c r="I54" s="75">
        <v>0</v>
      </c>
      <c r="J54" s="152">
        <v>0</v>
      </c>
      <c r="K54" s="75">
        <v>0</v>
      </c>
      <c r="L54" s="87">
        <v>0</v>
      </c>
      <c r="M54" s="75">
        <v>0</v>
      </c>
      <c r="N54" s="87">
        <v>0</v>
      </c>
      <c r="O54" s="75">
        <v>0</v>
      </c>
      <c r="P54" s="87">
        <v>0</v>
      </c>
      <c r="Q54" s="75">
        <v>0</v>
      </c>
      <c r="R54" s="75">
        <v>0</v>
      </c>
      <c r="S54" s="75">
        <v>34052018.460000001</v>
      </c>
      <c r="T54" s="75">
        <v>0</v>
      </c>
      <c r="U54" s="239"/>
      <c r="V54" s="239"/>
    </row>
    <row r="55" spans="1:22" s="186" customFormat="1" ht="24" customHeight="1" x14ac:dyDescent="0.25">
      <c r="A55" s="25">
        <v>44</v>
      </c>
      <c r="B55" s="34" t="s">
        <v>942</v>
      </c>
      <c r="C55" s="75">
        <f t="shared" si="2"/>
        <v>9410331.0999999996</v>
      </c>
      <c r="D55" s="75">
        <f t="shared" si="3"/>
        <v>0</v>
      </c>
      <c r="E55" s="87">
        <v>0</v>
      </c>
      <c r="F55" s="87">
        <v>0</v>
      </c>
      <c r="G55" s="87">
        <v>0</v>
      </c>
      <c r="H55" s="87">
        <v>0</v>
      </c>
      <c r="I55" s="75">
        <v>0</v>
      </c>
      <c r="J55" s="152">
        <v>0</v>
      </c>
      <c r="K55" s="75">
        <v>0</v>
      </c>
      <c r="L55" s="87">
        <v>9118202.1799999997</v>
      </c>
      <c r="M55" s="75">
        <v>0</v>
      </c>
      <c r="N55" s="87">
        <v>0</v>
      </c>
      <c r="O55" s="75">
        <v>0</v>
      </c>
      <c r="P55" s="87">
        <v>292128.92</v>
      </c>
      <c r="Q55" s="75">
        <v>0</v>
      </c>
      <c r="R55" s="75">
        <v>0</v>
      </c>
      <c r="S55" s="75">
        <v>0</v>
      </c>
      <c r="T55" s="75">
        <v>0</v>
      </c>
      <c r="U55" s="239"/>
      <c r="V55" s="239"/>
    </row>
    <row r="56" spans="1:22" s="186" customFormat="1" ht="24" customHeight="1" x14ac:dyDescent="0.25">
      <c r="A56" s="25">
        <v>45</v>
      </c>
      <c r="B56" s="34" t="s">
        <v>943</v>
      </c>
      <c r="C56" s="75">
        <f t="shared" si="2"/>
        <v>166822.21</v>
      </c>
      <c r="D56" s="75">
        <f t="shared" si="3"/>
        <v>0</v>
      </c>
      <c r="E56" s="87">
        <v>0</v>
      </c>
      <c r="F56" s="87">
        <v>0</v>
      </c>
      <c r="G56" s="75">
        <v>0</v>
      </c>
      <c r="H56" s="87">
        <v>0</v>
      </c>
      <c r="I56" s="75">
        <v>0</v>
      </c>
      <c r="J56" s="152">
        <v>0</v>
      </c>
      <c r="K56" s="75">
        <v>0</v>
      </c>
      <c r="L56" s="75">
        <v>0</v>
      </c>
      <c r="M56" s="75">
        <v>0</v>
      </c>
      <c r="N56" s="75">
        <v>0</v>
      </c>
      <c r="O56" s="75">
        <v>0</v>
      </c>
      <c r="P56" s="87">
        <v>166822.21</v>
      </c>
      <c r="Q56" s="75">
        <v>0</v>
      </c>
      <c r="R56" s="75">
        <v>0</v>
      </c>
      <c r="S56" s="75">
        <v>0</v>
      </c>
      <c r="T56" s="75">
        <v>0</v>
      </c>
      <c r="U56" s="238"/>
      <c r="V56" s="238"/>
    </row>
    <row r="57" spans="1:22" s="186" customFormat="1" ht="24" customHeight="1" x14ac:dyDescent="0.25">
      <c r="A57" s="25">
        <v>46</v>
      </c>
      <c r="B57" s="34" t="s">
        <v>944</v>
      </c>
      <c r="C57" s="75">
        <f t="shared" si="2"/>
        <v>3206846.21</v>
      </c>
      <c r="D57" s="75">
        <f t="shared" si="3"/>
        <v>2606228.4</v>
      </c>
      <c r="E57" s="87">
        <v>2606228.4</v>
      </c>
      <c r="F57" s="87">
        <v>0</v>
      </c>
      <c r="G57" s="87">
        <v>0</v>
      </c>
      <c r="H57" s="87">
        <v>0</v>
      </c>
      <c r="I57" s="87">
        <v>0</v>
      </c>
      <c r="J57" s="152">
        <v>0</v>
      </c>
      <c r="K57" s="75">
        <v>0</v>
      </c>
      <c r="L57" s="75">
        <v>0</v>
      </c>
      <c r="M57" s="75">
        <v>0</v>
      </c>
      <c r="N57" s="75">
        <v>0</v>
      </c>
      <c r="O57" s="75">
        <v>0</v>
      </c>
      <c r="P57" s="87">
        <f>334651.44+265966.37</f>
        <v>600617.81000000006</v>
      </c>
      <c r="Q57" s="75">
        <v>0</v>
      </c>
      <c r="R57" s="75">
        <v>0</v>
      </c>
      <c r="S57" s="75">
        <v>0</v>
      </c>
      <c r="T57" s="75">
        <v>0</v>
      </c>
      <c r="U57" s="239"/>
      <c r="V57" s="239"/>
    </row>
    <row r="58" spans="1:22" s="186" customFormat="1" ht="24" customHeight="1" x14ac:dyDescent="0.25">
      <c r="A58" s="25">
        <v>47</v>
      </c>
      <c r="B58" s="34" t="s">
        <v>945</v>
      </c>
      <c r="C58" s="75">
        <f t="shared" si="2"/>
        <v>134171</v>
      </c>
      <c r="D58" s="75">
        <f t="shared" si="3"/>
        <v>0</v>
      </c>
      <c r="E58" s="87">
        <v>0</v>
      </c>
      <c r="F58" s="87">
        <v>0</v>
      </c>
      <c r="G58" s="87">
        <v>0</v>
      </c>
      <c r="H58" s="87">
        <v>0</v>
      </c>
      <c r="I58" s="87">
        <v>0</v>
      </c>
      <c r="J58" s="152">
        <v>0</v>
      </c>
      <c r="K58" s="75">
        <v>0</v>
      </c>
      <c r="L58" s="75">
        <v>0</v>
      </c>
      <c r="M58" s="75">
        <v>0</v>
      </c>
      <c r="N58" s="75">
        <v>0</v>
      </c>
      <c r="O58" s="75">
        <v>0</v>
      </c>
      <c r="P58" s="87">
        <v>134171</v>
      </c>
      <c r="Q58" s="75">
        <v>0</v>
      </c>
      <c r="R58" s="75">
        <v>0</v>
      </c>
      <c r="S58" s="75">
        <v>0</v>
      </c>
      <c r="T58" s="75">
        <v>0</v>
      </c>
      <c r="U58" s="238"/>
      <c r="V58" s="238"/>
    </row>
    <row r="59" spans="1:22" s="186" customFormat="1" ht="24" customHeight="1" x14ac:dyDescent="0.25">
      <c r="A59" s="25">
        <v>48</v>
      </c>
      <c r="B59" s="34" t="s">
        <v>111</v>
      </c>
      <c r="C59" s="75">
        <f t="shared" si="2"/>
        <v>219362.54</v>
      </c>
      <c r="D59" s="75">
        <f t="shared" si="3"/>
        <v>219362.54</v>
      </c>
      <c r="E59" s="87">
        <v>0</v>
      </c>
      <c r="F59" s="75">
        <v>0</v>
      </c>
      <c r="G59" s="75">
        <v>0</v>
      </c>
      <c r="H59" s="87">
        <v>219362.54</v>
      </c>
      <c r="I59" s="75">
        <v>0</v>
      </c>
      <c r="J59" s="152">
        <v>0</v>
      </c>
      <c r="K59" s="75">
        <v>0</v>
      </c>
      <c r="L59" s="75">
        <v>0</v>
      </c>
      <c r="M59" s="75">
        <v>0</v>
      </c>
      <c r="N59" s="75">
        <v>0</v>
      </c>
      <c r="O59" s="75">
        <v>0</v>
      </c>
      <c r="P59" s="75">
        <v>0</v>
      </c>
      <c r="Q59" s="75">
        <v>0</v>
      </c>
      <c r="R59" s="75">
        <v>0</v>
      </c>
      <c r="S59" s="75">
        <v>0</v>
      </c>
      <c r="T59" s="75">
        <v>0</v>
      </c>
      <c r="U59" s="238"/>
      <c r="V59" s="238"/>
    </row>
    <row r="60" spans="1:22" s="186" customFormat="1" ht="24" customHeight="1" x14ac:dyDescent="0.25">
      <c r="A60" s="25">
        <v>49</v>
      </c>
      <c r="B60" s="34" t="s">
        <v>946</v>
      </c>
      <c r="C60" s="75">
        <f t="shared" si="2"/>
        <v>377981.1</v>
      </c>
      <c r="D60" s="75">
        <f t="shared" si="3"/>
        <v>0</v>
      </c>
      <c r="E60" s="87">
        <v>0</v>
      </c>
      <c r="F60" s="87">
        <v>0</v>
      </c>
      <c r="G60" s="87">
        <v>0</v>
      </c>
      <c r="H60" s="87">
        <v>0</v>
      </c>
      <c r="I60" s="87">
        <v>0</v>
      </c>
      <c r="J60" s="152">
        <v>0</v>
      </c>
      <c r="K60" s="75">
        <v>0</v>
      </c>
      <c r="L60" s="75">
        <v>0</v>
      </c>
      <c r="M60" s="75">
        <v>0</v>
      </c>
      <c r="N60" s="75">
        <v>0</v>
      </c>
      <c r="O60" s="75">
        <v>0</v>
      </c>
      <c r="P60" s="87">
        <f>196922.5+181058.6</f>
        <v>377981.1</v>
      </c>
      <c r="Q60" s="75">
        <v>0</v>
      </c>
      <c r="R60" s="75">
        <v>0</v>
      </c>
      <c r="S60" s="75">
        <v>0</v>
      </c>
      <c r="T60" s="75">
        <v>0</v>
      </c>
      <c r="U60" s="238"/>
      <c r="V60" s="238"/>
    </row>
    <row r="61" spans="1:22" s="186" customFormat="1" ht="24" customHeight="1" x14ac:dyDescent="0.25">
      <c r="A61" s="25">
        <v>50</v>
      </c>
      <c r="B61" s="34" t="s">
        <v>113</v>
      </c>
      <c r="C61" s="75">
        <f t="shared" si="2"/>
        <v>1546459.7</v>
      </c>
      <c r="D61" s="75">
        <f t="shared" si="3"/>
        <v>1546459.7</v>
      </c>
      <c r="E61" s="87">
        <v>0</v>
      </c>
      <c r="F61" s="75">
        <v>0</v>
      </c>
      <c r="G61" s="75">
        <v>1546459.7</v>
      </c>
      <c r="H61" s="87">
        <v>0</v>
      </c>
      <c r="I61" s="75">
        <v>0</v>
      </c>
      <c r="J61" s="152">
        <v>0</v>
      </c>
      <c r="K61" s="87">
        <v>0</v>
      </c>
      <c r="L61" s="75">
        <v>0</v>
      </c>
      <c r="M61" s="75">
        <v>0</v>
      </c>
      <c r="N61" s="75">
        <v>0</v>
      </c>
      <c r="O61" s="75">
        <v>0</v>
      </c>
      <c r="P61" s="75">
        <v>0</v>
      </c>
      <c r="Q61" s="75">
        <v>0</v>
      </c>
      <c r="R61" s="75">
        <v>0</v>
      </c>
      <c r="S61" s="75">
        <v>0</v>
      </c>
      <c r="T61" s="75">
        <v>0</v>
      </c>
      <c r="U61" s="239"/>
      <c r="V61" s="239"/>
    </row>
    <row r="62" spans="1:22" s="186" customFormat="1" ht="24" customHeight="1" x14ac:dyDescent="0.25">
      <c r="A62" s="25">
        <v>51</v>
      </c>
      <c r="B62" s="34" t="s">
        <v>947</v>
      </c>
      <c r="C62" s="75">
        <f t="shared" si="2"/>
        <v>11659431.08</v>
      </c>
      <c r="D62" s="75">
        <f t="shared" si="3"/>
        <v>0</v>
      </c>
      <c r="E62" s="87">
        <v>0</v>
      </c>
      <c r="F62" s="75">
        <v>0</v>
      </c>
      <c r="G62" s="75">
        <v>0</v>
      </c>
      <c r="H62" s="87">
        <v>0</v>
      </c>
      <c r="I62" s="75">
        <v>0</v>
      </c>
      <c r="J62" s="152">
        <v>0</v>
      </c>
      <c r="K62" s="75">
        <v>0</v>
      </c>
      <c r="L62" s="87">
        <v>0</v>
      </c>
      <c r="M62" s="75">
        <v>0</v>
      </c>
      <c r="N62" s="87">
        <v>11373659.029999999</v>
      </c>
      <c r="O62" s="75">
        <v>0</v>
      </c>
      <c r="P62" s="87">
        <v>285772.05</v>
      </c>
      <c r="Q62" s="75">
        <v>0</v>
      </c>
      <c r="R62" s="75">
        <v>0</v>
      </c>
      <c r="S62" s="75">
        <v>0</v>
      </c>
      <c r="T62" s="75">
        <v>0</v>
      </c>
      <c r="U62" s="238"/>
      <c r="V62" s="238"/>
    </row>
    <row r="63" spans="1:22" s="186" customFormat="1" ht="24" customHeight="1" x14ac:dyDescent="0.25">
      <c r="A63" s="25">
        <v>52</v>
      </c>
      <c r="B63" s="34" t="s">
        <v>116</v>
      </c>
      <c r="C63" s="75">
        <f t="shared" si="2"/>
        <v>379523.8</v>
      </c>
      <c r="D63" s="75">
        <f t="shared" si="3"/>
        <v>379523.8</v>
      </c>
      <c r="E63" s="87">
        <v>379523.8</v>
      </c>
      <c r="F63" s="75">
        <v>0</v>
      </c>
      <c r="G63" s="75">
        <v>0</v>
      </c>
      <c r="H63" s="87">
        <v>0</v>
      </c>
      <c r="I63" s="75">
        <v>0</v>
      </c>
      <c r="J63" s="152">
        <v>0</v>
      </c>
      <c r="K63" s="87">
        <v>0</v>
      </c>
      <c r="L63" s="75">
        <v>0</v>
      </c>
      <c r="M63" s="75">
        <v>0</v>
      </c>
      <c r="N63" s="75">
        <v>0</v>
      </c>
      <c r="O63" s="75">
        <v>0</v>
      </c>
      <c r="P63" s="75">
        <v>0</v>
      </c>
      <c r="Q63" s="75">
        <v>0</v>
      </c>
      <c r="R63" s="75">
        <v>0</v>
      </c>
      <c r="S63" s="75">
        <v>0</v>
      </c>
      <c r="T63" s="75">
        <v>0</v>
      </c>
      <c r="U63" s="239"/>
      <c r="V63" s="239"/>
    </row>
    <row r="64" spans="1:22" s="186" customFormat="1" ht="24" customHeight="1" x14ac:dyDescent="0.25">
      <c r="A64" s="25">
        <v>53</v>
      </c>
      <c r="B64" s="34" t="s">
        <v>948</v>
      </c>
      <c r="C64" s="75">
        <f t="shared" si="2"/>
        <v>145370.03</v>
      </c>
      <c r="D64" s="75">
        <f t="shared" si="3"/>
        <v>0</v>
      </c>
      <c r="E64" s="87">
        <v>0</v>
      </c>
      <c r="F64" s="75">
        <v>0</v>
      </c>
      <c r="G64" s="75">
        <v>0</v>
      </c>
      <c r="H64" s="87">
        <v>0</v>
      </c>
      <c r="I64" s="75">
        <v>0</v>
      </c>
      <c r="J64" s="152">
        <v>0</v>
      </c>
      <c r="K64" s="75">
        <v>0</v>
      </c>
      <c r="L64" s="87">
        <v>0</v>
      </c>
      <c r="M64" s="75">
        <v>0</v>
      </c>
      <c r="N64" s="75">
        <v>0</v>
      </c>
      <c r="O64" s="75">
        <v>0</v>
      </c>
      <c r="P64" s="87">
        <v>145370.03</v>
      </c>
      <c r="Q64" s="75">
        <v>0</v>
      </c>
      <c r="R64" s="75">
        <v>0</v>
      </c>
      <c r="S64" s="75">
        <v>0</v>
      </c>
      <c r="T64" s="75">
        <v>0</v>
      </c>
      <c r="U64" s="238"/>
      <c r="V64" s="238"/>
    </row>
    <row r="65" spans="1:22" s="186" customFormat="1" ht="24" customHeight="1" x14ac:dyDescent="0.25">
      <c r="A65" s="25">
        <v>54</v>
      </c>
      <c r="B65" s="34" t="s">
        <v>949</v>
      </c>
      <c r="C65" s="75">
        <f t="shared" si="2"/>
        <v>147350.51</v>
      </c>
      <c r="D65" s="75">
        <f t="shared" si="3"/>
        <v>0</v>
      </c>
      <c r="E65" s="87">
        <v>0</v>
      </c>
      <c r="F65" s="75">
        <v>0</v>
      </c>
      <c r="G65" s="75">
        <v>0</v>
      </c>
      <c r="H65" s="87">
        <v>0</v>
      </c>
      <c r="I65" s="75">
        <v>0</v>
      </c>
      <c r="J65" s="152">
        <v>0</v>
      </c>
      <c r="K65" s="75">
        <v>0</v>
      </c>
      <c r="L65" s="87">
        <v>0</v>
      </c>
      <c r="M65" s="75">
        <v>0</v>
      </c>
      <c r="N65" s="75">
        <v>0</v>
      </c>
      <c r="O65" s="75">
        <v>0</v>
      </c>
      <c r="P65" s="87">
        <v>147350.51</v>
      </c>
      <c r="Q65" s="75">
        <v>0</v>
      </c>
      <c r="R65" s="75">
        <v>0</v>
      </c>
      <c r="S65" s="75">
        <v>0</v>
      </c>
      <c r="T65" s="75">
        <v>0</v>
      </c>
      <c r="U65" s="238"/>
      <c r="V65" s="238"/>
    </row>
    <row r="66" spans="1:22" s="186" customFormat="1" ht="24" customHeight="1" x14ac:dyDescent="0.25">
      <c r="A66" s="25">
        <v>55</v>
      </c>
      <c r="B66" s="34" t="s">
        <v>950</v>
      </c>
      <c r="C66" s="75">
        <f t="shared" si="2"/>
        <v>140658.88</v>
      </c>
      <c r="D66" s="75">
        <f t="shared" si="3"/>
        <v>0</v>
      </c>
      <c r="E66" s="87">
        <v>0</v>
      </c>
      <c r="F66" s="87">
        <v>0</v>
      </c>
      <c r="G66" s="75">
        <v>0</v>
      </c>
      <c r="H66" s="87">
        <v>0</v>
      </c>
      <c r="I66" s="87">
        <v>0</v>
      </c>
      <c r="J66" s="152">
        <v>0</v>
      </c>
      <c r="K66" s="75">
        <v>0</v>
      </c>
      <c r="L66" s="75">
        <v>0</v>
      </c>
      <c r="M66" s="75">
        <v>0</v>
      </c>
      <c r="N66" s="75">
        <v>0</v>
      </c>
      <c r="O66" s="75">
        <v>0</v>
      </c>
      <c r="P66" s="87">
        <v>140658.88</v>
      </c>
      <c r="Q66" s="75">
        <v>0</v>
      </c>
      <c r="R66" s="75">
        <v>0</v>
      </c>
      <c r="S66" s="75">
        <v>0</v>
      </c>
      <c r="T66" s="75">
        <v>0</v>
      </c>
      <c r="U66" s="238"/>
      <c r="V66" s="238"/>
    </row>
    <row r="67" spans="1:22" s="186" customFormat="1" ht="24" customHeight="1" x14ac:dyDescent="0.25">
      <c r="A67" s="25">
        <v>56</v>
      </c>
      <c r="B67" s="34" t="s">
        <v>951</v>
      </c>
      <c r="C67" s="75">
        <f t="shared" si="2"/>
        <v>292575.33</v>
      </c>
      <c r="D67" s="75">
        <f t="shared" si="3"/>
        <v>0</v>
      </c>
      <c r="E67" s="87">
        <v>0</v>
      </c>
      <c r="F67" s="75">
        <v>0</v>
      </c>
      <c r="G67" s="75">
        <v>0</v>
      </c>
      <c r="H67" s="87">
        <v>0</v>
      </c>
      <c r="I67" s="75">
        <v>0</v>
      </c>
      <c r="J67" s="152">
        <v>0</v>
      </c>
      <c r="K67" s="75">
        <v>0</v>
      </c>
      <c r="L67" s="87">
        <v>0</v>
      </c>
      <c r="M67" s="75">
        <v>0</v>
      </c>
      <c r="N67" s="75">
        <v>0</v>
      </c>
      <c r="O67" s="75">
        <v>0</v>
      </c>
      <c r="P67" s="87">
        <v>292575.33</v>
      </c>
      <c r="Q67" s="75">
        <v>0</v>
      </c>
      <c r="R67" s="75">
        <v>0</v>
      </c>
      <c r="S67" s="75">
        <v>0</v>
      </c>
      <c r="T67" s="75">
        <v>0</v>
      </c>
      <c r="U67" s="238"/>
      <c r="V67" s="238"/>
    </row>
    <row r="68" spans="1:22" s="186" customFormat="1" ht="24" customHeight="1" x14ac:dyDescent="0.25">
      <c r="A68" s="25">
        <v>57</v>
      </c>
      <c r="B68" s="38" t="s">
        <v>121</v>
      </c>
      <c r="C68" s="75">
        <f t="shared" si="2"/>
        <v>1650674.04</v>
      </c>
      <c r="D68" s="75">
        <f t="shared" si="3"/>
        <v>1650674.04</v>
      </c>
      <c r="E68" s="87">
        <v>0</v>
      </c>
      <c r="F68" s="75">
        <v>1400367.63</v>
      </c>
      <c r="G68" s="75">
        <v>0</v>
      </c>
      <c r="H68" s="87">
        <v>90221.119999999995</v>
      </c>
      <c r="I68" s="75">
        <v>160085.29</v>
      </c>
      <c r="J68" s="152">
        <v>0</v>
      </c>
      <c r="K68" s="75">
        <v>0</v>
      </c>
      <c r="L68" s="87">
        <v>0</v>
      </c>
      <c r="M68" s="75">
        <v>0</v>
      </c>
      <c r="N68" s="75">
        <v>0</v>
      </c>
      <c r="O68" s="75">
        <v>0</v>
      </c>
      <c r="P68" s="87">
        <v>0</v>
      </c>
      <c r="Q68" s="75">
        <v>0</v>
      </c>
      <c r="R68" s="75">
        <v>0</v>
      </c>
      <c r="S68" s="75">
        <v>0</v>
      </c>
      <c r="T68" s="75">
        <v>0</v>
      </c>
      <c r="U68" s="238"/>
      <c r="V68" s="238"/>
    </row>
    <row r="69" spans="1:22" s="186" customFormat="1" ht="24" customHeight="1" x14ac:dyDescent="0.25">
      <c r="A69" s="25">
        <v>58</v>
      </c>
      <c r="B69" s="34" t="s">
        <v>122</v>
      </c>
      <c r="C69" s="75">
        <f t="shared" si="2"/>
        <v>1658604.53</v>
      </c>
      <c r="D69" s="75">
        <f t="shared" si="3"/>
        <v>1658604.53</v>
      </c>
      <c r="E69" s="87">
        <v>0</v>
      </c>
      <c r="F69" s="75">
        <v>0</v>
      </c>
      <c r="G69" s="75">
        <v>1658604.53</v>
      </c>
      <c r="H69" s="87">
        <v>0</v>
      </c>
      <c r="I69" s="87">
        <v>0</v>
      </c>
      <c r="J69" s="152">
        <v>0</v>
      </c>
      <c r="K69" s="75">
        <v>0</v>
      </c>
      <c r="L69" s="75">
        <v>0</v>
      </c>
      <c r="M69" s="75">
        <v>0</v>
      </c>
      <c r="N69" s="75">
        <v>0</v>
      </c>
      <c r="O69" s="75">
        <v>0</v>
      </c>
      <c r="P69" s="75">
        <v>0</v>
      </c>
      <c r="Q69" s="75">
        <v>0</v>
      </c>
      <c r="R69" s="75">
        <v>0</v>
      </c>
      <c r="S69" s="75">
        <v>0</v>
      </c>
      <c r="T69" s="75">
        <v>0</v>
      </c>
      <c r="U69" s="238"/>
      <c r="V69" s="238"/>
    </row>
    <row r="70" spans="1:22" s="186" customFormat="1" ht="24" customHeight="1" x14ac:dyDescent="0.25">
      <c r="A70" s="25">
        <v>59</v>
      </c>
      <c r="B70" s="34" t="s">
        <v>123</v>
      </c>
      <c r="C70" s="75">
        <f t="shared" si="2"/>
        <v>997039.41</v>
      </c>
      <c r="D70" s="75">
        <f t="shared" si="3"/>
        <v>997039.41</v>
      </c>
      <c r="E70" s="87">
        <v>0</v>
      </c>
      <c r="F70" s="75">
        <v>0</v>
      </c>
      <c r="G70" s="75">
        <v>0</v>
      </c>
      <c r="H70" s="87">
        <v>417794.76</v>
      </c>
      <c r="I70" s="87">
        <v>579244.65</v>
      </c>
      <c r="J70" s="152">
        <v>0</v>
      </c>
      <c r="K70" s="75">
        <v>0</v>
      </c>
      <c r="L70" s="75">
        <v>0</v>
      </c>
      <c r="M70" s="75">
        <v>0</v>
      </c>
      <c r="N70" s="75">
        <v>0</v>
      </c>
      <c r="O70" s="75">
        <v>0</v>
      </c>
      <c r="P70" s="75">
        <v>0</v>
      </c>
      <c r="Q70" s="75">
        <v>0</v>
      </c>
      <c r="R70" s="75">
        <v>0</v>
      </c>
      <c r="S70" s="75">
        <v>0</v>
      </c>
      <c r="T70" s="75">
        <v>0</v>
      </c>
      <c r="U70" s="238"/>
      <c r="V70" s="238"/>
    </row>
    <row r="71" spans="1:22" s="186" customFormat="1" ht="24" customHeight="1" x14ac:dyDescent="0.25">
      <c r="A71" s="25">
        <v>60</v>
      </c>
      <c r="B71" s="38" t="s">
        <v>952</v>
      </c>
      <c r="C71" s="75">
        <f t="shared" si="2"/>
        <v>419368.33999999997</v>
      </c>
      <c r="D71" s="75">
        <f t="shared" si="3"/>
        <v>0</v>
      </c>
      <c r="E71" s="87">
        <v>0</v>
      </c>
      <c r="F71" s="87">
        <v>0</v>
      </c>
      <c r="G71" s="87">
        <v>0</v>
      </c>
      <c r="H71" s="87">
        <v>0</v>
      </c>
      <c r="I71" s="87">
        <v>0</v>
      </c>
      <c r="J71" s="152">
        <v>0</v>
      </c>
      <c r="K71" s="75">
        <v>0</v>
      </c>
      <c r="L71" s="75">
        <v>0</v>
      </c>
      <c r="M71" s="75">
        <v>0</v>
      </c>
      <c r="N71" s="75">
        <v>0</v>
      </c>
      <c r="O71" s="75">
        <v>0</v>
      </c>
      <c r="P71" s="87">
        <f>267084.49+152283.85</f>
        <v>419368.33999999997</v>
      </c>
      <c r="Q71" s="75">
        <v>0</v>
      </c>
      <c r="R71" s="75">
        <v>0</v>
      </c>
      <c r="S71" s="75">
        <v>0</v>
      </c>
      <c r="T71" s="75">
        <v>0</v>
      </c>
      <c r="U71" s="239"/>
      <c r="V71" s="239"/>
    </row>
    <row r="72" spans="1:22" s="186" customFormat="1" ht="24" customHeight="1" x14ac:dyDescent="0.25">
      <c r="A72" s="25">
        <v>61</v>
      </c>
      <c r="B72" s="34" t="s">
        <v>953</v>
      </c>
      <c r="C72" s="75">
        <f t="shared" si="2"/>
        <v>259180.81</v>
      </c>
      <c r="D72" s="75">
        <f t="shared" si="3"/>
        <v>0</v>
      </c>
      <c r="E72" s="87">
        <v>0</v>
      </c>
      <c r="F72" s="75">
        <v>0</v>
      </c>
      <c r="G72" s="75">
        <v>0</v>
      </c>
      <c r="H72" s="87">
        <v>0</v>
      </c>
      <c r="I72" s="87">
        <v>0</v>
      </c>
      <c r="J72" s="152">
        <v>0</v>
      </c>
      <c r="K72" s="75">
        <v>0</v>
      </c>
      <c r="L72" s="87">
        <v>0</v>
      </c>
      <c r="M72" s="75">
        <v>0</v>
      </c>
      <c r="N72" s="75">
        <v>0</v>
      </c>
      <c r="O72" s="75">
        <v>0</v>
      </c>
      <c r="P72" s="87">
        <v>259180.81</v>
      </c>
      <c r="Q72" s="75">
        <v>0</v>
      </c>
      <c r="R72" s="75">
        <v>0</v>
      </c>
      <c r="S72" s="75">
        <v>0</v>
      </c>
      <c r="T72" s="75">
        <v>0</v>
      </c>
      <c r="U72" s="239"/>
      <c r="V72" s="239"/>
    </row>
    <row r="73" spans="1:22" s="186" customFormat="1" ht="24" customHeight="1" x14ac:dyDescent="0.25">
      <c r="A73" s="25">
        <v>62</v>
      </c>
      <c r="B73" s="34" t="s">
        <v>127</v>
      </c>
      <c r="C73" s="75">
        <f t="shared" si="2"/>
        <v>11751748.800000001</v>
      </c>
      <c r="D73" s="75">
        <f t="shared" si="3"/>
        <v>0</v>
      </c>
      <c r="E73" s="87">
        <v>0</v>
      </c>
      <c r="F73" s="87">
        <v>0</v>
      </c>
      <c r="G73" s="75">
        <v>0</v>
      </c>
      <c r="H73" s="87">
        <v>0</v>
      </c>
      <c r="I73" s="75">
        <v>0</v>
      </c>
      <c r="J73" s="152">
        <v>0</v>
      </c>
      <c r="K73" s="75">
        <v>0</v>
      </c>
      <c r="L73" s="87">
        <v>0</v>
      </c>
      <c r="M73" s="75">
        <v>0</v>
      </c>
      <c r="N73" s="75">
        <v>11751748.800000001</v>
      </c>
      <c r="O73" s="75">
        <v>0</v>
      </c>
      <c r="P73" s="87">
        <v>0</v>
      </c>
      <c r="Q73" s="87">
        <v>0</v>
      </c>
      <c r="R73" s="75">
        <v>0</v>
      </c>
      <c r="S73" s="75">
        <v>0</v>
      </c>
      <c r="T73" s="75">
        <v>0</v>
      </c>
      <c r="U73" s="239"/>
      <c r="V73" s="239"/>
    </row>
    <row r="74" spans="1:22" s="186" customFormat="1" ht="24" customHeight="1" x14ac:dyDescent="0.25">
      <c r="A74" s="25">
        <v>63</v>
      </c>
      <c r="B74" s="34" t="s">
        <v>954</v>
      </c>
      <c r="C74" s="75">
        <f t="shared" si="2"/>
        <v>198651.11</v>
      </c>
      <c r="D74" s="75">
        <f t="shared" si="3"/>
        <v>0</v>
      </c>
      <c r="E74" s="87">
        <v>0</v>
      </c>
      <c r="F74" s="87">
        <v>0</v>
      </c>
      <c r="G74" s="75">
        <v>0</v>
      </c>
      <c r="H74" s="87">
        <v>0</v>
      </c>
      <c r="I74" s="75">
        <v>0</v>
      </c>
      <c r="J74" s="152">
        <v>0</v>
      </c>
      <c r="K74" s="75">
        <v>0</v>
      </c>
      <c r="L74" s="87">
        <v>0</v>
      </c>
      <c r="M74" s="75">
        <v>0</v>
      </c>
      <c r="N74" s="75">
        <v>0</v>
      </c>
      <c r="O74" s="75">
        <v>0</v>
      </c>
      <c r="P74" s="87">
        <v>198651.11</v>
      </c>
      <c r="Q74" s="87">
        <v>0</v>
      </c>
      <c r="R74" s="75">
        <v>0</v>
      </c>
      <c r="S74" s="75">
        <v>0</v>
      </c>
      <c r="T74" s="75">
        <v>0</v>
      </c>
      <c r="U74" s="239"/>
      <c r="V74" s="239"/>
    </row>
    <row r="75" spans="1:22" s="186" customFormat="1" ht="24" customHeight="1" x14ac:dyDescent="0.25">
      <c r="A75" s="25">
        <v>64</v>
      </c>
      <c r="B75" s="34" t="s">
        <v>955</v>
      </c>
      <c r="C75" s="75">
        <f t="shared" si="2"/>
        <v>4521682.16</v>
      </c>
      <c r="D75" s="75">
        <f t="shared" si="3"/>
        <v>3805593.03</v>
      </c>
      <c r="E75" s="87">
        <v>0</v>
      </c>
      <c r="F75" s="87">
        <v>2327458.36</v>
      </c>
      <c r="G75" s="87">
        <v>1152838.67</v>
      </c>
      <c r="H75" s="87">
        <v>325296</v>
      </c>
      <c r="I75" s="75">
        <v>0</v>
      </c>
      <c r="J75" s="152">
        <v>0</v>
      </c>
      <c r="K75" s="75">
        <v>0</v>
      </c>
      <c r="L75" s="87">
        <v>0</v>
      </c>
      <c r="M75" s="75">
        <v>0</v>
      </c>
      <c r="N75" s="75">
        <v>0</v>
      </c>
      <c r="O75" s="75">
        <v>0</v>
      </c>
      <c r="P75" s="87">
        <f>247668.01+269548.72+198872.4</f>
        <v>716089.13</v>
      </c>
      <c r="Q75" s="75">
        <v>0</v>
      </c>
      <c r="R75" s="75">
        <v>0</v>
      </c>
      <c r="S75" s="75">
        <v>0</v>
      </c>
      <c r="T75" s="75">
        <v>0</v>
      </c>
      <c r="U75" s="239"/>
      <c r="V75" s="239"/>
    </row>
    <row r="76" spans="1:22" s="186" customFormat="1" ht="24" customHeight="1" x14ac:dyDescent="0.25">
      <c r="A76" s="25">
        <v>65</v>
      </c>
      <c r="B76" s="34" t="s">
        <v>133</v>
      </c>
      <c r="C76" s="75">
        <f t="shared" ref="C76:C106" si="4">D76+K76+L76+M76+N76+O76+P76+Q76+R76+S76+T76</f>
        <v>1190490.94</v>
      </c>
      <c r="D76" s="75">
        <f t="shared" ref="D76:D138" si="5">SUM(E76:I76)</f>
        <v>1190490.94</v>
      </c>
      <c r="E76" s="87">
        <v>0</v>
      </c>
      <c r="F76" s="75">
        <v>0</v>
      </c>
      <c r="G76" s="75">
        <v>1190490.94</v>
      </c>
      <c r="H76" s="87">
        <v>0</v>
      </c>
      <c r="I76" s="75">
        <v>0</v>
      </c>
      <c r="J76" s="152">
        <v>0</v>
      </c>
      <c r="K76" s="75">
        <v>0</v>
      </c>
      <c r="L76" s="75">
        <v>0</v>
      </c>
      <c r="M76" s="75">
        <v>0</v>
      </c>
      <c r="N76" s="75">
        <v>0</v>
      </c>
      <c r="O76" s="75">
        <v>0</v>
      </c>
      <c r="P76" s="87">
        <v>0</v>
      </c>
      <c r="Q76" s="75">
        <v>0</v>
      </c>
      <c r="R76" s="75">
        <v>0</v>
      </c>
      <c r="S76" s="87">
        <v>0</v>
      </c>
      <c r="T76" s="75">
        <v>0</v>
      </c>
      <c r="U76" s="239"/>
      <c r="V76" s="239"/>
    </row>
    <row r="77" spans="1:22" s="186" customFormat="1" ht="24" customHeight="1" x14ac:dyDescent="0.25">
      <c r="A77" s="25">
        <v>66</v>
      </c>
      <c r="B77" s="34" t="s">
        <v>956</v>
      </c>
      <c r="C77" s="75">
        <f t="shared" si="4"/>
        <v>6511803.1200000001</v>
      </c>
      <c r="D77" s="75">
        <f t="shared" si="5"/>
        <v>954307.2</v>
      </c>
      <c r="E77" s="87">
        <v>954307.2</v>
      </c>
      <c r="F77" s="75">
        <v>0</v>
      </c>
      <c r="G77" s="75">
        <v>0</v>
      </c>
      <c r="H77" s="87">
        <v>0</v>
      </c>
      <c r="I77" s="75">
        <v>0</v>
      </c>
      <c r="J77" s="152">
        <v>0</v>
      </c>
      <c r="K77" s="75">
        <v>0</v>
      </c>
      <c r="L77" s="75">
        <v>0</v>
      </c>
      <c r="M77" s="75">
        <v>0</v>
      </c>
      <c r="N77" s="75">
        <v>0</v>
      </c>
      <c r="O77" s="75">
        <v>0</v>
      </c>
      <c r="P77" s="87">
        <v>240604.22</v>
      </c>
      <c r="Q77" s="75">
        <v>0</v>
      </c>
      <c r="R77" s="75">
        <v>0</v>
      </c>
      <c r="S77" s="87">
        <v>5316891.7</v>
      </c>
      <c r="T77" s="75">
        <v>0</v>
      </c>
      <c r="U77" s="239"/>
      <c r="V77" s="239"/>
    </row>
    <row r="78" spans="1:22" s="186" customFormat="1" ht="24" customHeight="1" x14ac:dyDescent="0.25">
      <c r="A78" s="25">
        <v>67</v>
      </c>
      <c r="B78" s="34" t="s">
        <v>957</v>
      </c>
      <c r="C78" s="75">
        <f t="shared" si="4"/>
        <v>372048.24</v>
      </c>
      <c r="D78" s="75">
        <f t="shared" si="5"/>
        <v>0</v>
      </c>
      <c r="E78" s="87">
        <v>0</v>
      </c>
      <c r="F78" s="87">
        <v>0</v>
      </c>
      <c r="G78" s="75">
        <v>0</v>
      </c>
      <c r="H78" s="87">
        <v>0</v>
      </c>
      <c r="I78" s="75">
        <v>0</v>
      </c>
      <c r="J78" s="152">
        <v>0</v>
      </c>
      <c r="K78" s="75">
        <v>0</v>
      </c>
      <c r="L78" s="75">
        <v>0</v>
      </c>
      <c r="M78" s="75">
        <v>0</v>
      </c>
      <c r="N78" s="75">
        <v>0</v>
      </c>
      <c r="O78" s="75">
        <v>0</v>
      </c>
      <c r="P78" s="87">
        <v>372048.24</v>
      </c>
      <c r="Q78" s="75">
        <v>0</v>
      </c>
      <c r="R78" s="75">
        <v>0</v>
      </c>
      <c r="S78" s="75">
        <v>0</v>
      </c>
      <c r="T78" s="75">
        <v>0</v>
      </c>
      <c r="U78" s="239"/>
      <c r="V78" s="239"/>
    </row>
    <row r="79" spans="1:22" s="186" customFormat="1" ht="24" customHeight="1" x14ac:dyDescent="0.25">
      <c r="A79" s="25">
        <v>68</v>
      </c>
      <c r="B79" s="34" t="s">
        <v>958</v>
      </c>
      <c r="C79" s="75">
        <f t="shared" si="4"/>
        <v>557624.08000000007</v>
      </c>
      <c r="D79" s="75">
        <f t="shared" si="5"/>
        <v>194824</v>
      </c>
      <c r="E79" s="87">
        <v>0</v>
      </c>
      <c r="F79" s="87">
        <v>0</v>
      </c>
      <c r="G79" s="87">
        <v>194824</v>
      </c>
      <c r="H79" s="87">
        <v>0</v>
      </c>
      <c r="I79" s="75">
        <v>0</v>
      </c>
      <c r="J79" s="152">
        <v>0</v>
      </c>
      <c r="K79" s="75">
        <v>0</v>
      </c>
      <c r="L79" s="75">
        <v>0</v>
      </c>
      <c r="M79" s="75">
        <v>0</v>
      </c>
      <c r="N79" s="75">
        <v>0</v>
      </c>
      <c r="O79" s="75">
        <v>0</v>
      </c>
      <c r="P79" s="87">
        <v>362800.08</v>
      </c>
      <c r="Q79" s="75">
        <v>0</v>
      </c>
      <c r="R79" s="75">
        <v>0</v>
      </c>
      <c r="S79" s="75">
        <v>0</v>
      </c>
      <c r="T79" s="75">
        <v>0</v>
      </c>
      <c r="U79" s="239"/>
      <c r="V79" s="239"/>
    </row>
    <row r="80" spans="1:22" s="186" customFormat="1" ht="24" customHeight="1" x14ac:dyDescent="0.25">
      <c r="A80" s="25">
        <v>69</v>
      </c>
      <c r="B80" s="34" t="s">
        <v>959</v>
      </c>
      <c r="C80" s="75">
        <f t="shared" si="4"/>
        <v>292381.36</v>
      </c>
      <c r="D80" s="75">
        <f t="shared" si="5"/>
        <v>0</v>
      </c>
      <c r="E80" s="87">
        <v>0</v>
      </c>
      <c r="F80" s="75">
        <v>0</v>
      </c>
      <c r="G80" s="87">
        <v>0</v>
      </c>
      <c r="H80" s="87">
        <v>0</v>
      </c>
      <c r="I80" s="75">
        <v>0</v>
      </c>
      <c r="J80" s="152">
        <v>0</v>
      </c>
      <c r="K80" s="75">
        <v>0</v>
      </c>
      <c r="L80" s="75">
        <v>0</v>
      </c>
      <c r="M80" s="75">
        <v>0</v>
      </c>
      <c r="N80" s="75">
        <v>0</v>
      </c>
      <c r="O80" s="75">
        <v>0</v>
      </c>
      <c r="P80" s="75">
        <v>292381.36</v>
      </c>
      <c r="Q80" s="75">
        <v>0</v>
      </c>
      <c r="R80" s="75">
        <v>0</v>
      </c>
      <c r="S80" s="75">
        <v>0</v>
      </c>
      <c r="T80" s="75">
        <v>0</v>
      </c>
      <c r="U80" s="238"/>
      <c r="V80" s="238"/>
    </row>
    <row r="81" spans="1:39" s="186" customFormat="1" ht="24" customHeight="1" x14ac:dyDescent="0.25">
      <c r="A81" s="25">
        <v>70</v>
      </c>
      <c r="B81" s="34" t="s">
        <v>960</v>
      </c>
      <c r="C81" s="75">
        <f t="shared" si="4"/>
        <v>10820677.99</v>
      </c>
      <c r="D81" s="75">
        <f t="shared" si="5"/>
        <v>0</v>
      </c>
      <c r="E81" s="87">
        <v>0</v>
      </c>
      <c r="F81" s="75">
        <v>0</v>
      </c>
      <c r="G81" s="75">
        <v>0</v>
      </c>
      <c r="H81" s="87">
        <v>0</v>
      </c>
      <c r="I81" s="75">
        <v>0</v>
      </c>
      <c r="J81" s="152">
        <v>3</v>
      </c>
      <c r="K81" s="87">
        <v>10736126.130000001</v>
      </c>
      <c r="L81" s="75">
        <v>0</v>
      </c>
      <c r="M81" s="75">
        <v>0</v>
      </c>
      <c r="N81" s="75">
        <v>0</v>
      </c>
      <c r="O81" s="75">
        <v>0</v>
      </c>
      <c r="P81" s="87">
        <v>84551.86</v>
      </c>
      <c r="Q81" s="75">
        <v>0</v>
      </c>
      <c r="R81" s="75">
        <v>0</v>
      </c>
      <c r="S81" s="75">
        <v>0</v>
      </c>
      <c r="T81" s="75">
        <v>0</v>
      </c>
      <c r="U81" s="239"/>
      <c r="V81" s="239"/>
    </row>
    <row r="82" spans="1:39" s="186" customFormat="1" ht="24" customHeight="1" x14ac:dyDescent="0.25">
      <c r="A82" s="25">
        <v>71</v>
      </c>
      <c r="B82" s="34" t="s">
        <v>961</v>
      </c>
      <c r="C82" s="75">
        <f t="shared" si="4"/>
        <v>1270282.45</v>
      </c>
      <c r="D82" s="75">
        <f t="shared" si="5"/>
        <v>978938.23</v>
      </c>
      <c r="E82" s="87">
        <v>0</v>
      </c>
      <c r="F82" s="87">
        <v>0</v>
      </c>
      <c r="G82" s="87">
        <v>0</v>
      </c>
      <c r="H82" s="87">
        <v>557644.6</v>
      </c>
      <c r="I82" s="87">
        <v>421293.63</v>
      </c>
      <c r="J82" s="152">
        <v>0</v>
      </c>
      <c r="K82" s="75">
        <v>0</v>
      </c>
      <c r="L82" s="75">
        <v>0</v>
      </c>
      <c r="M82" s="75">
        <v>0</v>
      </c>
      <c r="N82" s="75">
        <v>0</v>
      </c>
      <c r="O82" s="75">
        <v>0</v>
      </c>
      <c r="P82" s="87">
        <v>291344.21999999997</v>
      </c>
      <c r="Q82" s="75">
        <v>0</v>
      </c>
      <c r="R82" s="75">
        <v>0</v>
      </c>
      <c r="S82" s="75">
        <v>0</v>
      </c>
      <c r="T82" s="75">
        <v>0</v>
      </c>
      <c r="U82" s="238"/>
      <c r="V82" s="238"/>
    </row>
    <row r="83" spans="1:39" s="186" customFormat="1" ht="24" customHeight="1" x14ac:dyDescent="0.25">
      <c r="A83" s="25">
        <v>72</v>
      </c>
      <c r="B83" s="34" t="s">
        <v>962</v>
      </c>
      <c r="C83" s="75">
        <f t="shared" si="4"/>
        <v>16876022.129999999</v>
      </c>
      <c r="D83" s="75">
        <f t="shared" si="5"/>
        <v>5296349.8</v>
      </c>
      <c r="E83" s="87">
        <v>0</v>
      </c>
      <c r="F83" s="87">
        <v>5296349.8</v>
      </c>
      <c r="G83" s="75">
        <v>0</v>
      </c>
      <c r="H83" s="87">
        <v>0</v>
      </c>
      <c r="I83" s="87">
        <v>0</v>
      </c>
      <c r="J83" s="152">
        <v>0</v>
      </c>
      <c r="K83" s="75">
        <v>0</v>
      </c>
      <c r="L83" s="87">
        <v>11016809.039999999</v>
      </c>
      <c r="M83" s="75">
        <v>0</v>
      </c>
      <c r="N83" s="75">
        <v>0</v>
      </c>
      <c r="O83" s="75">
        <v>0</v>
      </c>
      <c r="P83" s="87">
        <v>562863.29</v>
      </c>
      <c r="Q83" s="75">
        <v>0</v>
      </c>
      <c r="R83" s="75">
        <v>0</v>
      </c>
      <c r="S83" s="75">
        <v>0</v>
      </c>
      <c r="T83" s="75">
        <v>0</v>
      </c>
      <c r="U83" s="239"/>
      <c r="V83" s="239"/>
    </row>
    <row r="84" spans="1:39" s="186" customFormat="1" ht="24" customHeight="1" x14ac:dyDescent="0.25">
      <c r="A84" s="25">
        <v>73</v>
      </c>
      <c r="B84" s="38" t="s">
        <v>963</v>
      </c>
      <c r="C84" s="75">
        <f t="shared" si="4"/>
        <v>5205688.3600000003</v>
      </c>
      <c r="D84" s="75">
        <f t="shared" si="5"/>
        <v>4949125.45</v>
      </c>
      <c r="E84" s="87">
        <v>0</v>
      </c>
      <c r="F84" s="87">
        <v>4949125.45</v>
      </c>
      <c r="G84" s="87">
        <v>0</v>
      </c>
      <c r="H84" s="87">
        <v>0</v>
      </c>
      <c r="I84" s="87">
        <v>0</v>
      </c>
      <c r="J84" s="152">
        <v>0</v>
      </c>
      <c r="K84" s="75">
        <v>0</v>
      </c>
      <c r="L84" s="75">
        <v>0</v>
      </c>
      <c r="M84" s="75">
        <v>0</v>
      </c>
      <c r="N84" s="75">
        <v>0</v>
      </c>
      <c r="O84" s="75">
        <v>0</v>
      </c>
      <c r="P84" s="87">
        <v>256562.91</v>
      </c>
      <c r="Q84" s="75">
        <v>0</v>
      </c>
      <c r="R84" s="75">
        <v>0</v>
      </c>
      <c r="S84" s="75">
        <v>0</v>
      </c>
      <c r="T84" s="75">
        <v>0</v>
      </c>
      <c r="U84" s="239"/>
      <c r="V84" s="239"/>
    </row>
    <row r="85" spans="1:39" s="186" customFormat="1" ht="24" customHeight="1" x14ac:dyDescent="0.25">
      <c r="A85" s="25">
        <v>74</v>
      </c>
      <c r="B85" s="34" t="s">
        <v>964</v>
      </c>
      <c r="C85" s="75">
        <f t="shared" si="4"/>
        <v>312220.88</v>
      </c>
      <c r="D85" s="75">
        <f t="shared" si="5"/>
        <v>0</v>
      </c>
      <c r="E85" s="87">
        <v>0</v>
      </c>
      <c r="F85" s="87">
        <v>0</v>
      </c>
      <c r="G85" s="87">
        <v>0</v>
      </c>
      <c r="H85" s="87">
        <v>0</v>
      </c>
      <c r="I85" s="75">
        <v>0</v>
      </c>
      <c r="J85" s="152">
        <v>0</v>
      </c>
      <c r="K85" s="75">
        <v>0</v>
      </c>
      <c r="L85" s="75">
        <v>0</v>
      </c>
      <c r="M85" s="75">
        <v>0</v>
      </c>
      <c r="N85" s="75">
        <v>0</v>
      </c>
      <c r="O85" s="75">
        <v>0</v>
      </c>
      <c r="P85" s="87">
        <v>312220.88</v>
      </c>
      <c r="Q85" s="75">
        <v>0</v>
      </c>
      <c r="R85" s="75">
        <v>0</v>
      </c>
      <c r="S85" s="75">
        <v>0</v>
      </c>
      <c r="T85" s="75">
        <v>0</v>
      </c>
      <c r="U85" s="239"/>
      <c r="V85" s="239"/>
      <c r="W85" s="44"/>
      <c r="X85" s="44"/>
      <c r="Y85" s="44"/>
      <c r="Z85" s="44"/>
      <c r="AA85" s="44"/>
      <c r="AB85" s="44"/>
      <c r="AC85" s="44"/>
      <c r="AD85" s="44"/>
      <c r="AE85" s="44"/>
      <c r="AF85" s="44"/>
      <c r="AG85" s="44"/>
      <c r="AH85" s="44"/>
      <c r="AI85" s="44"/>
      <c r="AJ85" s="44"/>
      <c r="AK85" s="44"/>
      <c r="AL85" s="44"/>
      <c r="AM85" s="44"/>
    </row>
    <row r="86" spans="1:39" s="186" customFormat="1" ht="24" customHeight="1" x14ac:dyDescent="0.25">
      <c r="A86" s="25">
        <v>75</v>
      </c>
      <c r="B86" s="38" t="s">
        <v>965</v>
      </c>
      <c r="C86" s="75">
        <f t="shared" si="4"/>
        <v>200481.33</v>
      </c>
      <c r="D86" s="75">
        <f t="shared" si="5"/>
        <v>0</v>
      </c>
      <c r="E86" s="87">
        <v>0</v>
      </c>
      <c r="F86" s="75">
        <v>0</v>
      </c>
      <c r="G86" s="75">
        <v>0</v>
      </c>
      <c r="H86" s="87">
        <v>0</v>
      </c>
      <c r="I86" s="75">
        <v>0</v>
      </c>
      <c r="J86" s="152">
        <v>0</v>
      </c>
      <c r="K86" s="75">
        <v>0</v>
      </c>
      <c r="L86" s="87">
        <v>0</v>
      </c>
      <c r="M86" s="75">
        <v>0</v>
      </c>
      <c r="N86" s="75">
        <v>0</v>
      </c>
      <c r="O86" s="75">
        <v>0</v>
      </c>
      <c r="P86" s="87">
        <v>200481.33</v>
      </c>
      <c r="Q86" s="75">
        <v>0</v>
      </c>
      <c r="R86" s="75">
        <v>0</v>
      </c>
      <c r="S86" s="75">
        <v>0</v>
      </c>
      <c r="T86" s="75">
        <v>0</v>
      </c>
      <c r="U86" s="239"/>
      <c r="V86" s="239"/>
    </row>
    <row r="87" spans="1:39" s="186" customFormat="1" ht="24" customHeight="1" x14ac:dyDescent="0.25">
      <c r="A87" s="25">
        <v>76</v>
      </c>
      <c r="B87" s="38" t="s">
        <v>149</v>
      </c>
      <c r="C87" s="75">
        <f t="shared" si="4"/>
        <v>6117132.1600000001</v>
      </c>
      <c r="D87" s="75">
        <f t="shared" si="5"/>
        <v>0</v>
      </c>
      <c r="E87" s="87">
        <v>0</v>
      </c>
      <c r="F87" s="87">
        <v>0</v>
      </c>
      <c r="G87" s="87">
        <v>0</v>
      </c>
      <c r="H87" s="87">
        <v>0</v>
      </c>
      <c r="I87" s="87">
        <v>0</v>
      </c>
      <c r="J87" s="152">
        <v>0</v>
      </c>
      <c r="K87" s="75">
        <v>0</v>
      </c>
      <c r="L87" s="75">
        <v>0</v>
      </c>
      <c r="M87" s="75">
        <v>0</v>
      </c>
      <c r="N87" s="75">
        <v>0</v>
      </c>
      <c r="O87" s="75">
        <v>0</v>
      </c>
      <c r="P87" s="87">
        <v>0</v>
      </c>
      <c r="Q87" s="75">
        <v>0</v>
      </c>
      <c r="R87" s="75">
        <v>0</v>
      </c>
      <c r="S87" s="75">
        <v>6117132.1600000001</v>
      </c>
      <c r="T87" s="75">
        <v>0</v>
      </c>
      <c r="U87" s="239"/>
      <c r="V87" s="239"/>
    </row>
    <row r="88" spans="1:39" s="186" customFormat="1" ht="24" customHeight="1" x14ac:dyDescent="0.25">
      <c r="A88" s="25">
        <v>77</v>
      </c>
      <c r="B88" s="38" t="s">
        <v>966</v>
      </c>
      <c r="C88" s="75">
        <f t="shared" si="4"/>
        <v>4621315.25</v>
      </c>
      <c r="D88" s="75">
        <f t="shared" si="5"/>
        <v>4442294.5199999996</v>
      </c>
      <c r="E88" s="87">
        <v>0</v>
      </c>
      <c r="F88" s="87">
        <v>4442294.5199999996</v>
      </c>
      <c r="G88" s="87">
        <v>0</v>
      </c>
      <c r="H88" s="87">
        <v>0</v>
      </c>
      <c r="I88" s="87">
        <v>0</v>
      </c>
      <c r="J88" s="152">
        <v>0</v>
      </c>
      <c r="K88" s="75">
        <v>0</v>
      </c>
      <c r="L88" s="75">
        <v>0</v>
      </c>
      <c r="M88" s="75">
        <v>0</v>
      </c>
      <c r="N88" s="75">
        <v>0</v>
      </c>
      <c r="O88" s="75">
        <v>0</v>
      </c>
      <c r="P88" s="87">
        <v>179020.73</v>
      </c>
      <c r="Q88" s="75">
        <v>0</v>
      </c>
      <c r="R88" s="75">
        <v>0</v>
      </c>
      <c r="S88" s="75">
        <v>0</v>
      </c>
      <c r="T88" s="75">
        <v>0</v>
      </c>
      <c r="U88" s="239"/>
      <c r="V88" s="239"/>
    </row>
    <row r="89" spans="1:39" s="186" customFormat="1" ht="24" customHeight="1" x14ac:dyDescent="0.25">
      <c r="A89" s="25">
        <v>78</v>
      </c>
      <c r="B89" s="38" t="s">
        <v>967</v>
      </c>
      <c r="C89" s="75">
        <f t="shared" si="4"/>
        <v>21347944.390000001</v>
      </c>
      <c r="D89" s="75">
        <f t="shared" si="5"/>
        <v>6877133.29</v>
      </c>
      <c r="E89" s="87">
        <v>0</v>
      </c>
      <c r="F89" s="87">
        <v>6877133.29</v>
      </c>
      <c r="G89" s="87">
        <v>0</v>
      </c>
      <c r="H89" s="87">
        <v>0</v>
      </c>
      <c r="I89" s="87">
        <v>0</v>
      </c>
      <c r="J89" s="152">
        <v>0</v>
      </c>
      <c r="K89" s="75">
        <v>0</v>
      </c>
      <c r="L89" s="87">
        <v>13874623.41</v>
      </c>
      <c r="M89" s="75">
        <v>0</v>
      </c>
      <c r="N89" s="75">
        <v>0</v>
      </c>
      <c r="O89" s="75">
        <v>0</v>
      </c>
      <c r="P89" s="87">
        <v>596187.68999999994</v>
      </c>
      <c r="Q89" s="75">
        <v>0</v>
      </c>
      <c r="R89" s="75">
        <v>0</v>
      </c>
      <c r="S89" s="75">
        <v>0</v>
      </c>
      <c r="T89" s="75">
        <v>0</v>
      </c>
      <c r="U89" s="239"/>
      <c r="V89" s="239"/>
    </row>
    <row r="90" spans="1:39" s="186" customFormat="1" ht="24" customHeight="1" x14ac:dyDescent="0.25">
      <c r="A90" s="25">
        <v>79</v>
      </c>
      <c r="B90" s="38" t="s">
        <v>153</v>
      </c>
      <c r="C90" s="75">
        <f t="shared" si="4"/>
        <v>1158255.3600000001</v>
      </c>
      <c r="D90" s="75">
        <f t="shared" si="5"/>
        <v>0</v>
      </c>
      <c r="E90" s="87">
        <v>0</v>
      </c>
      <c r="F90" s="87">
        <v>0</v>
      </c>
      <c r="G90" s="87">
        <v>0</v>
      </c>
      <c r="H90" s="87">
        <v>0</v>
      </c>
      <c r="I90" s="87">
        <v>0</v>
      </c>
      <c r="J90" s="152">
        <v>0</v>
      </c>
      <c r="K90" s="75">
        <v>0</v>
      </c>
      <c r="L90" s="87">
        <v>0</v>
      </c>
      <c r="M90" s="75">
        <v>0</v>
      </c>
      <c r="N90" s="75">
        <v>1158255.3600000001</v>
      </c>
      <c r="O90" s="75">
        <v>0</v>
      </c>
      <c r="P90" s="87">
        <v>0</v>
      </c>
      <c r="Q90" s="75">
        <v>0</v>
      </c>
      <c r="R90" s="75">
        <v>0</v>
      </c>
      <c r="S90" s="75">
        <v>0</v>
      </c>
      <c r="T90" s="75">
        <v>0</v>
      </c>
      <c r="U90" s="239"/>
      <c r="V90" s="239"/>
    </row>
    <row r="91" spans="1:39" s="186" customFormat="1" ht="24" customHeight="1" x14ac:dyDescent="0.25">
      <c r="A91" s="25">
        <v>80</v>
      </c>
      <c r="B91" s="34" t="s">
        <v>968</v>
      </c>
      <c r="C91" s="75">
        <f t="shared" si="4"/>
        <v>328778.56</v>
      </c>
      <c r="D91" s="75">
        <f t="shared" si="5"/>
        <v>0</v>
      </c>
      <c r="E91" s="87">
        <v>0</v>
      </c>
      <c r="F91" s="87">
        <v>0</v>
      </c>
      <c r="G91" s="75">
        <v>0</v>
      </c>
      <c r="H91" s="87">
        <v>0</v>
      </c>
      <c r="I91" s="75">
        <v>0</v>
      </c>
      <c r="J91" s="152">
        <v>0</v>
      </c>
      <c r="K91" s="75">
        <v>0</v>
      </c>
      <c r="L91" s="75">
        <v>0</v>
      </c>
      <c r="M91" s="75">
        <v>0</v>
      </c>
      <c r="N91" s="75">
        <v>0</v>
      </c>
      <c r="O91" s="75">
        <v>0</v>
      </c>
      <c r="P91" s="87">
        <v>328778.56</v>
      </c>
      <c r="Q91" s="75">
        <v>0</v>
      </c>
      <c r="R91" s="75">
        <v>0</v>
      </c>
      <c r="S91" s="75">
        <v>0</v>
      </c>
      <c r="T91" s="75">
        <v>0</v>
      </c>
      <c r="U91" s="238"/>
      <c r="V91" s="238"/>
      <c r="W91" s="23"/>
      <c r="X91" s="23"/>
      <c r="Y91" s="23"/>
      <c r="Z91" s="23"/>
      <c r="AA91" s="23"/>
      <c r="AB91" s="23"/>
      <c r="AC91" s="23"/>
      <c r="AD91" s="23"/>
      <c r="AE91" s="23"/>
      <c r="AF91" s="23"/>
      <c r="AG91" s="23"/>
      <c r="AH91" s="23"/>
      <c r="AI91" s="23"/>
    </row>
    <row r="92" spans="1:39" s="186" customFormat="1" ht="24" customHeight="1" x14ac:dyDescent="0.25">
      <c r="A92" s="25">
        <v>81</v>
      </c>
      <c r="B92" s="38" t="s">
        <v>157</v>
      </c>
      <c r="C92" s="75">
        <f t="shared" si="4"/>
        <v>2601192.13</v>
      </c>
      <c r="D92" s="75">
        <f t="shared" si="5"/>
        <v>2601192.13</v>
      </c>
      <c r="E92" s="87">
        <v>530000</v>
      </c>
      <c r="F92" s="87">
        <v>0</v>
      </c>
      <c r="G92" s="87">
        <v>570061.78</v>
      </c>
      <c r="H92" s="87">
        <v>661041.02</v>
      </c>
      <c r="I92" s="87">
        <v>840089.33</v>
      </c>
      <c r="J92" s="152">
        <v>0</v>
      </c>
      <c r="K92" s="75">
        <v>0</v>
      </c>
      <c r="L92" s="87">
        <v>0</v>
      </c>
      <c r="M92" s="75">
        <v>0</v>
      </c>
      <c r="N92" s="75">
        <v>0</v>
      </c>
      <c r="O92" s="75">
        <v>0</v>
      </c>
      <c r="P92" s="87">
        <v>0</v>
      </c>
      <c r="Q92" s="75">
        <v>0</v>
      </c>
      <c r="R92" s="75">
        <v>0</v>
      </c>
      <c r="S92" s="75">
        <v>0</v>
      </c>
      <c r="T92" s="75">
        <v>0</v>
      </c>
      <c r="U92" s="239"/>
      <c r="V92" s="239"/>
    </row>
    <row r="93" spans="1:39" s="186" customFormat="1" ht="24" customHeight="1" x14ac:dyDescent="0.25">
      <c r="A93" s="25">
        <v>82</v>
      </c>
      <c r="B93" s="39" t="s">
        <v>969</v>
      </c>
      <c r="C93" s="75">
        <f t="shared" si="4"/>
        <v>201141.47</v>
      </c>
      <c r="D93" s="75">
        <f t="shared" si="5"/>
        <v>0</v>
      </c>
      <c r="E93" s="87">
        <v>0</v>
      </c>
      <c r="F93" s="87">
        <v>0</v>
      </c>
      <c r="G93" s="75">
        <v>0</v>
      </c>
      <c r="H93" s="87">
        <v>0</v>
      </c>
      <c r="I93" s="75">
        <v>0</v>
      </c>
      <c r="J93" s="152">
        <v>0</v>
      </c>
      <c r="K93" s="75">
        <v>0</v>
      </c>
      <c r="L93" s="75">
        <v>0</v>
      </c>
      <c r="M93" s="75">
        <v>0</v>
      </c>
      <c r="N93" s="75">
        <v>0</v>
      </c>
      <c r="O93" s="75">
        <v>0</v>
      </c>
      <c r="P93" s="87">
        <v>201141.47</v>
      </c>
      <c r="Q93" s="75">
        <v>0</v>
      </c>
      <c r="R93" s="75">
        <v>0</v>
      </c>
      <c r="S93" s="75">
        <v>0</v>
      </c>
      <c r="T93" s="75">
        <v>0</v>
      </c>
      <c r="U93" s="238"/>
      <c r="V93" s="238"/>
    </row>
    <row r="94" spans="1:39" s="186" customFormat="1" ht="24" customHeight="1" x14ac:dyDescent="0.25">
      <c r="A94" s="25">
        <v>83</v>
      </c>
      <c r="B94" s="38" t="s">
        <v>970</v>
      </c>
      <c r="C94" s="75">
        <f t="shared" si="4"/>
        <v>352229.03</v>
      </c>
      <c r="D94" s="75">
        <f t="shared" si="5"/>
        <v>0</v>
      </c>
      <c r="E94" s="87">
        <v>0</v>
      </c>
      <c r="F94" s="75">
        <v>0</v>
      </c>
      <c r="G94" s="75">
        <v>0</v>
      </c>
      <c r="H94" s="87">
        <v>0</v>
      </c>
      <c r="I94" s="75">
        <v>0</v>
      </c>
      <c r="J94" s="152">
        <v>0</v>
      </c>
      <c r="K94" s="75">
        <v>0</v>
      </c>
      <c r="L94" s="75">
        <v>0</v>
      </c>
      <c r="M94" s="75">
        <v>0</v>
      </c>
      <c r="N94" s="75">
        <v>0</v>
      </c>
      <c r="O94" s="75">
        <v>0</v>
      </c>
      <c r="P94" s="87">
        <v>352229.03</v>
      </c>
      <c r="Q94" s="75">
        <v>0</v>
      </c>
      <c r="R94" s="75">
        <v>0</v>
      </c>
      <c r="S94" s="87">
        <v>0</v>
      </c>
      <c r="T94" s="75">
        <v>0</v>
      </c>
      <c r="U94" s="239"/>
      <c r="V94" s="239"/>
    </row>
    <row r="95" spans="1:39" s="186" customFormat="1" ht="24" customHeight="1" x14ac:dyDescent="0.25">
      <c r="A95" s="25">
        <v>84</v>
      </c>
      <c r="B95" s="34" t="s">
        <v>971</v>
      </c>
      <c r="C95" s="75">
        <f t="shared" si="4"/>
        <v>5453022.4100000001</v>
      </c>
      <c r="D95" s="75">
        <f t="shared" si="5"/>
        <v>0</v>
      </c>
      <c r="E95" s="87">
        <v>0</v>
      </c>
      <c r="F95" s="75">
        <v>0</v>
      </c>
      <c r="G95" s="75">
        <v>0</v>
      </c>
      <c r="H95" s="87">
        <v>0</v>
      </c>
      <c r="I95" s="75">
        <v>0</v>
      </c>
      <c r="J95" s="152">
        <v>0</v>
      </c>
      <c r="K95" s="75">
        <v>0</v>
      </c>
      <c r="L95" s="87">
        <v>5277237.78</v>
      </c>
      <c r="M95" s="75">
        <v>0</v>
      </c>
      <c r="N95" s="87">
        <v>0</v>
      </c>
      <c r="O95" s="75">
        <v>0</v>
      </c>
      <c r="P95" s="87">
        <v>175784.63</v>
      </c>
      <c r="Q95" s="75">
        <v>0</v>
      </c>
      <c r="R95" s="75">
        <v>0</v>
      </c>
      <c r="S95" s="75">
        <v>0</v>
      </c>
      <c r="T95" s="75">
        <v>0</v>
      </c>
      <c r="U95" s="239"/>
      <c r="V95" s="239"/>
    </row>
    <row r="96" spans="1:39" s="186" customFormat="1" ht="24" customHeight="1" x14ac:dyDescent="0.25">
      <c r="A96" s="25">
        <v>85</v>
      </c>
      <c r="B96" s="38" t="s">
        <v>164</v>
      </c>
      <c r="C96" s="75">
        <f t="shared" si="4"/>
        <v>6923682.1299999999</v>
      </c>
      <c r="D96" s="75">
        <f t="shared" si="5"/>
        <v>0</v>
      </c>
      <c r="E96" s="87">
        <v>0</v>
      </c>
      <c r="F96" s="87">
        <v>0</v>
      </c>
      <c r="G96" s="87">
        <v>0</v>
      </c>
      <c r="H96" s="87">
        <v>0</v>
      </c>
      <c r="I96" s="75">
        <v>0</v>
      </c>
      <c r="J96" s="152">
        <v>0</v>
      </c>
      <c r="K96" s="75">
        <v>0</v>
      </c>
      <c r="L96" s="75">
        <v>6923682.1299999999</v>
      </c>
      <c r="M96" s="75">
        <v>0</v>
      </c>
      <c r="N96" s="87">
        <v>0</v>
      </c>
      <c r="O96" s="75">
        <v>0</v>
      </c>
      <c r="P96" s="87">
        <v>0</v>
      </c>
      <c r="Q96" s="75">
        <v>0</v>
      </c>
      <c r="R96" s="75">
        <v>0</v>
      </c>
      <c r="S96" s="75">
        <v>0</v>
      </c>
      <c r="T96" s="75">
        <v>0</v>
      </c>
      <c r="U96" s="238"/>
      <c r="V96" s="238"/>
    </row>
    <row r="97" spans="1:35" s="186" customFormat="1" ht="24" customHeight="1" x14ac:dyDescent="0.25">
      <c r="A97" s="25">
        <v>86</v>
      </c>
      <c r="B97" s="38" t="s">
        <v>972</v>
      </c>
      <c r="C97" s="75">
        <f t="shared" si="4"/>
        <v>251204.61</v>
      </c>
      <c r="D97" s="75">
        <f t="shared" si="5"/>
        <v>0</v>
      </c>
      <c r="E97" s="87">
        <v>0</v>
      </c>
      <c r="F97" s="87">
        <v>0</v>
      </c>
      <c r="G97" s="87">
        <v>0</v>
      </c>
      <c r="H97" s="87">
        <v>0</v>
      </c>
      <c r="I97" s="75">
        <v>0</v>
      </c>
      <c r="J97" s="152">
        <v>0</v>
      </c>
      <c r="K97" s="75">
        <v>0</v>
      </c>
      <c r="L97" s="75">
        <v>0</v>
      </c>
      <c r="M97" s="75">
        <v>0</v>
      </c>
      <c r="N97" s="87">
        <v>0</v>
      </c>
      <c r="O97" s="75">
        <v>0</v>
      </c>
      <c r="P97" s="87">
        <v>251204.61</v>
      </c>
      <c r="Q97" s="75">
        <v>0</v>
      </c>
      <c r="R97" s="75">
        <v>0</v>
      </c>
      <c r="S97" s="75">
        <v>0</v>
      </c>
      <c r="T97" s="75">
        <v>0</v>
      </c>
      <c r="U97" s="238"/>
      <c r="V97" s="238"/>
    </row>
    <row r="98" spans="1:35" s="186" customFormat="1" ht="24" customHeight="1" x14ac:dyDescent="0.25">
      <c r="A98" s="25">
        <v>87</v>
      </c>
      <c r="B98" s="38" t="s">
        <v>973</v>
      </c>
      <c r="C98" s="75">
        <f t="shared" si="4"/>
        <v>222611.13</v>
      </c>
      <c r="D98" s="75">
        <f t="shared" si="5"/>
        <v>0</v>
      </c>
      <c r="E98" s="87">
        <v>0</v>
      </c>
      <c r="F98" s="75">
        <v>0</v>
      </c>
      <c r="G98" s="87">
        <v>0</v>
      </c>
      <c r="H98" s="87">
        <v>0</v>
      </c>
      <c r="I98" s="87">
        <v>0</v>
      </c>
      <c r="J98" s="152">
        <v>0</v>
      </c>
      <c r="K98" s="75">
        <v>0</v>
      </c>
      <c r="L98" s="87">
        <v>0</v>
      </c>
      <c r="M98" s="75">
        <v>0</v>
      </c>
      <c r="N98" s="75">
        <v>0</v>
      </c>
      <c r="O98" s="75">
        <v>0</v>
      </c>
      <c r="P98" s="87">
        <v>222611.13</v>
      </c>
      <c r="Q98" s="75">
        <v>0</v>
      </c>
      <c r="R98" s="75">
        <v>0</v>
      </c>
      <c r="S98" s="75">
        <v>0</v>
      </c>
      <c r="T98" s="75">
        <v>0</v>
      </c>
      <c r="U98" s="238"/>
      <c r="V98" s="238"/>
    </row>
    <row r="99" spans="1:35" s="186" customFormat="1" ht="24" customHeight="1" x14ac:dyDescent="0.25">
      <c r="A99" s="25">
        <v>88</v>
      </c>
      <c r="B99" s="34" t="s">
        <v>974</v>
      </c>
      <c r="C99" s="75">
        <f t="shared" si="4"/>
        <v>13161131.73</v>
      </c>
      <c r="D99" s="75">
        <f t="shared" si="5"/>
        <v>0</v>
      </c>
      <c r="E99" s="87">
        <v>0</v>
      </c>
      <c r="F99" s="75">
        <v>0</v>
      </c>
      <c r="G99" s="75">
        <v>0</v>
      </c>
      <c r="H99" s="87">
        <v>0</v>
      </c>
      <c r="I99" s="75">
        <v>0</v>
      </c>
      <c r="J99" s="152">
        <v>0</v>
      </c>
      <c r="K99" s="75">
        <v>0</v>
      </c>
      <c r="L99" s="75">
        <v>0</v>
      </c>
      <c r="M99" s="75">
        <v>0</v>
      </c>
      <c r="N99" s="87">
        <v>12850159.220000001</v>
      </c>
      <c r="O99" s="75">
        <v>0</v>
      </c>
      <c r="P99" s="87">
        <v>310972.51</v>
      </c>
      <c r="Q99" s="75">
        <v>0</v>
      </c>
      <c r="R99" s="75">
        <v>0</v>
      </c>
      <c r="S99" s="75">
        <v>0</v>
      </c>
      <c r="T99" s="75">
        <v>0</v>
      </c>
      <c r="U99" s="239"/>
      <c r="V99" s="239"/>
    </row>
    <row r="100" spans="1:35" s="186" customFormat="1" ht="24" customHeight="1" x14ac:dyDescent="0.25">
      <c r="A100" s="25">
        <v>89</v>
      </c>
      <c r="B100" s="34" t="s">
        <v>975</v>
      </c>
      <c r="C100" s="75">
        <f t="shared" si="4"/>
        <v>26573380.960000005</v>
      </c>
      <c r="D100" s="75">
        <f t="shared" si="5"/>
        <v>0</v>
      </c>
      <c r="E100" s="87">
        <v>0</v>
      </c>
      <c r="F100" s="87">
        <v>0</v>
      </c>
      <c r="G100" s="87">
        <v>0</v>
      </c>
      <c r="H100" s="87">
        <v>0</v>
      </c>
      <c r="I100" s="75">
        <v>0</v>
      </c>
      <c r="J100" s="152">
        <v>0</v>
      </c>
      <c r="K100" s="75">
        <v>0</v>
      </c>
      <c r="L100" s="87">
        <v>15419773.640000001</v>
      </c>
      <c r="M100" s="75">
        <v>0</v>
      </c>
      <c r="N100" s="87">
        <v>10835471.630000001</v>
      </c>
      <c r="O100" s="75">
        <v>0</v>
      </c>
      <c r="P100" s="87">
        <v>318135.69</v>
      </c>
      <c r="Q100" s="75">
        <v>0</v>
      </c>
      <c r="R100" s="75">
        <v>0</v>
      </c>
      <c r="S100" s="75">
        <v>0</v>
      </c>
      <c r="T100" s="75">
        <v>0</v>
      </c>
      <c r="U100" s="239"/>
      <c r="V100" s="239"/>
    </row>
    <row r="101" spans="1:35" s="186" customFormat="1" ht="24" customHeight="1" x14ac:dyDescent="0.25">
      <c r="A101" s="25">
        <v>90</v>
      </c>
      <c r="B101" s="34" t="s">
        <v>171</v>
      </c>
      <c r="C101" s="75">
        <f t="shared" si="4"/>
        <v>9264335.9600000009</v>
      </c>
      <c r="D101" s="75">
        <f t="shared" si="5"/>
        <v>9264335.9600000009</v>
      </c>
      <c r="E101" s="87">
        <v>3119211.6</v>
      </c>
      <c r="F101" s="87">
        <v>6145124.3600000003</v>
      </c>
      <c r="G101" s="75">
        <v>0</v>
      </c>
      <c r="H101" s="87">
        <v>0</v>
      </c>
      <c r="I101" s="75">
        <v>0</v>
      </c>
      <c r="J101" s="152">
        <v>0</v>
      </c>
      <c r="K101" s="75">
        <v>0</v>
      </c>
      <c r="L101" s="75">
        <v>0</v>
      </c>
      <c r="M101" s="75">
        <v>0</v>
      </c>
      <c r="N101" s="75">
        <v>0</v>
      </c>
      <c r="O101" s="75">
        <v>0</v>
      </c>
      <c r="P101" s="87">
        <v>0</v>
      </c>
      <c r="Q101" s="75">
        <v>0</v>
      </c>
      <c r="R101" s="75">
        <v>0</v>
      </c>
      <c r="S101" s="75">
        <v>0</v>
      </c>
      <c r="T101" s="75">
        <v>0</v>
      </c>
      <c r="U101" s="239"/>
      <c r="V101" s="239"/>
    </row>
    <row r="102" spans="1:35" s="186" customFormat="1" ht="24" customHeight="1" x14ac:dyDescent="0.25">
      <c r="A102" s="25">
        <v>91</v>
      </c>
      <c r="B102" s="34" t="s">
        <v>172</v>
      </c>
      <c r="C102" s="75">
        <f t="shared" si="4"/>
        <v>5782289.3100000005</v>
      </c>
      <c r="D102" s="75">
        <f t="shared" si="5"/>
        <v>5782289.3100000005</v>
      </c>
      <c r="E102" s="87">
        <v>0</v>
      </c>
      <c r="F102" s="87">
        <v>4867946.91</v>
      </c>
      <c r="G102" s="87">
        <v>458850</v>
      </c>
      <c r="H102" s="87">
        <v>455492.4</v>
      </c>
      <c r="I102" s="75">
        <v>0</v>
      </c>
      <c r="J102" s="152">
        <v>0</v>
      </c>
      <c r="K102" s="75">
        <v>0</v>
      </c>
      <c r="L102" s="75">
        <v>0</v>
      </c>
      <c r="M102" s="75">
        <v>0</v>
      </c>
      <c r="N102" s="75">
        <v>0</v>
      </c>
      <c r="O102" s="75">
        <v>0</v>
      </c>
      <c r="P102" s="87">
        <v>0</v>
      </c>
      <c r="Q102" s="75">
        <v>0</v>
      </c>
      <c r="R102" s="75">
        <v>0</v>
      </c>
      <c r="S102" s="75">
        <v>0</v>
      </c>
      <c r="T102" s="75">
        <v>0</v>
      </c>
      <c r="U102" s="239"/>
      <c r="V102" s="239"/>
    </row>
    <row r="103" spans="1:35" s="186" customFormat="1" ht="24" customHeight="1" x14ac:dyDescent="0.25">
      <c r="A103" s="25">
        <v>92</v>
      </c>
      <c r="B103" s="34" t="s">
        <v>976</v>
      </c>
      <c r="C103" s="75">
        <f t="shared" si="4"/>
        <v>1377774.6800000002</v>
      </c>
      <c r="D103" s="75">
        <f t="shared" si="5"/>
        <v>844569.06</v>
      </c>
      <c r="E103" s="87">
        <v>0</v>
      </c>
      <c r="F103" s="87">
        <v>0</v>
      </c>
      <c r="G103" s="87">
        <v>0</v>
      </c>
      <c r="H103" s="87">
        <v>462002.66</v>
      </c>
      <c r="I103" s="87">
        <v>382566.40000000002</v>
      </c>
      <c r="J103" s="152">
        <v>0</v>
      </c>
      <c r="K103" s="75">
        <v>0</v>
      </c>
      <c r="L103" s="75">
        <v>0</v>
      </c>
      <c r="M103" s="75">
        <v>0</v>
      </c>
      <c r="N103" s="75">
        <v>0</v>
      </c>
      <c r="O103" s="75">
        <v>0</v>
      </c>
      <c r="P103" s="87">
        <f>304146.21+229059.41</f>
        <v>533205.62</v>
      </c>
      <c r="Q103" s="75">
        <v>0</v>
      </c>
      <c r="R103" s="75">
        <v>0</v>
      </c>
      <c r="S103" s="75">
        <v>0</v>
      </c>
      <c r="T103" s="75">
        <v>0</v>
      </c>
      <c r="U103" s="238"/>
      <c r="V103" s="238"/>
      <c r="W103" s="40"/>
      <c r="X103" s="40"/>
      <c r="Y103" s="40"/>
      <c r="Z103" s="40"/>
      <c r="AA103" s="40"/>
      <c r="AB103" s="40"/>
      <c r="AC103" s="40"/>
      <c r="AD103" s="40"/>
      <c r="AE103" s="40"/>
      <c r="AF103" s="40"/>
      <c r="AG103" s="40"/>
      <c r="AH103" s="40"/>
      <c r="AI103" s="40"/>
    </row>
    <row r="104" spans="1:35" s="186" customFormat="1" ht="24" customHeight="1" x14ac:dyDescent="0.25">
      <c r="A104" s="25">
        <v>93</v>
      </c>
      <c r="B104" s="34" t="s">
        <v>977</v>
      </c>
      <c r="C104" s="75">
        <f t="shared" si="4"/>
        <v>14706691.49</v>
      </c>
      <c r="D104" s="75">
        <f t="shared" si="5"/>
        <v>0</v>
      </c>
      <c r="E104" s="87">
        <v>0</v>
      </c>
      <c r="F104" s="75">
        <v>0</v>
      </c>
      <c r="G104" s="87">
        <v>0</v>
      </c>
      <c r="H104" s="87">
        <v>0</v>
      </c>
      <c r="I104" s="87">
        <v>0</v>
      </c>
      <c r="J104" s="152">
        <v>0</v>
      </c>
      <c r="K104" s="75">
        <v>0</v>
      </c>
      <c r="L104" s="75">
        <v>0</v>
      </c>
      <c r="M104" s="87">
        <v>0</v>
      </c>
      <c r="N104" s="87">
        <v>14408263.189999999</v>
      </c>
      <c r="O104" s="75">
        <v>0</v>
      </c>
      <c r="P104" s="87">
        <v>298428.3</v>
      </c>
      <c r="Q104" s="75">
        <v>0</v>
      </c>
      <c r="R104" s="75">
        <v>0</v>
      </c>
      <c r="S104" s="75">
        <v>0</v>
      </c>
      <c r="T104" s="75">
        <v>0</v>
      </c>
      <c r="U104" s="239"/>
      <c r="V104" s="239"/>
    </row>
    <row r="105" spans="1:35" s="186" customFormat="1" ht="24" customHeight="1" x14ac:dyDescent="0.25">
      <c r="A105" s="25">
        <v>94</v>
      </c>
      <c r="B105" s="34" t="s">
        <v>978</v>
      </c>
      <c r="C105" s="75">
        <f t="shared" si="4"/>
        <v>249341.12</v>
      </c>
      <c r="D105" s="75">
        <f t="shared" si="5"/>
        <v>0</v>
      </c>
      <c r="E105" s="87">
        <v>0</v>
      </c>
      <c r="F105" s="75">
        <v>0</v>
      </c>
      <c r="G105" s="87">
        <v>0</v>
      </c>
      <c r="H105" s="87">
        <v>0</v>
      </c>
      <c r="I105" s="87">
        <v>0</v>
      </c>
      <c r="J105" s="152">
        <v>0</v>
      </c>
      <c r="K105" s="75">
        <v>0</v>
      </c>
      <c r="L105" s="75">
        <v>0</v>
      </c>
      <c r="M105" s="87">
        <v>0</v>
      </c>
      <c r="N105" s="87">
        <v>0</v>
      </c>
      <c r="O105" s="75">
        <v>0</v>
      </c>
      <c r="P105" s="87">
        <v>249341.12</v>
      </c>
      <c r="Q105" s="75">
        <v>0</v>
      </c>
      <c r="R105" s="75">
        <v>0</v>
      </c>
      <c r="S105" s="75">
        <v>0</v>
      </c>
      <c r="T105" s="75">
        <v>0</v>
      </c>
      <c r="U105" s="239"/>
      <c r="V105" s="239"/>
    </row>
    <row r="106" spans="1:35" s="186" customFormat="1" ht="24" customHeight="1" x14ac:dyDescent="0.25">
      <c r="A106" s="25">
        <v>95</v>
      </c>
      <c r="B106" s="34" t="s">
        <v>979</v>
      </c>
      <c r="C106" s="75">
        <f t="shared" si="4"/>
        <v>2901295.61</v>
      </c>
      <c r="D106" s="75">
        <f t="shared" si="5"/>
        <v>2598898.46</v>
      </c>
      <c r="E106" s="87">
        <v>2319699.42</v>
      </c>
      <c r="F106" s="87">
        <v>0</v>
      </c>
      <c r="G106" s="87">
        <v>0</v>
      </c>
      <c r="H106" s="87">
        <v>0</v>
      </c>
      <c r="I106" s="87">
        <v>279199.03999999998</v>
      </c>
      <c r="J106" s="152">
        <v>0</v>
      </c>
      <c r="K106" s="75">
        <v>0</v>
      </c>
      <c r="L106" s="75">
        <v>0</v>
      </c>
      <c r="M106" s="75">
        <v>0</v>
      </c>
      <c r="N106" s="75">
        <v>0</v>
      </c>
      <c r="O106" s="75">
        <v>0</v>
      </c>
      <c r="P106" s="87">
        <v>302397.15000000002</v>
      </c>
      <c r="Q106" s="75">
        <v>0</v>
      </c>
      <c r="R106" s="75">
        <v>0</v>
      </c>
      <c r="S106" s="75">
        <v>0</v>
      </c>
      <c r="T106" s="75">
        <v>0</v>
      </c>
      <c r="U106" s="238"/>
      <c r="V106" s="238"/>
    </row>
    <row r="107" spans="1:35" s="186" customFormat="1" ht="24" customHeight="1" x14ac:dyDescent="0.25">
      <c r="A107" s="25">
        <v>96</v>
      </c>
      <c r="B107" s="34" t="s">
        <v>980</v>
      </c>
      <c r="C107" s="75">
        <f t="shared" ref="C107:C170" si="6">D107+K107+L107+M107+N107+O107+P107+Q107+R107+S107+T107</f>
        <v>272569.13</v>
      </c>
      <c r="D107" s="75">
        <f>SUM(E107:I107)</f>
        <v>0</v>
      </c>
      <c r="E107" s="87">
        <v>0</v>
      </c>
      <c r="F107" s="75">
        <v>0</v>
      </c>
      <c r="G107" s="87">
        <v>0</v>
      </c>
      <c r="H107" s="87">
        <v>0</v>
      </c>
      <c r="I107" s="87">
        <v>0</v>
      </c>
      <c r="J107" s="152">
        <v>0</v>
      </c>
      <c r="K107" s="75">
        <v>0</v>
      </c>
      <c r="L107" s="75">
        <v>0</v>
      </c>
      <c r="M107" s="75">
        <v>0</v>
      </c>
      <c r="N107" s="75">
        <v>0</v>
      </c>
      <c r="O107" s="75">
        <v>0</v>
      </c>
      <c r="P107" s="75">
        <v>272569.13</v>
      </c>
      <c r="Q107" s="75">
        <v>0</v>
      </c>
      <c r="R107" s="75">
        <v>0</v>
      </c>
      <c r="S107" s="75">
        <v>0</v>
      </c>
      <c r="T107" s="75">
        <v>0</v>
      </c>
      <c r="U107" s="238"/>
      <c r="V107" s="238"/>
      <c r="W107" s="44"/>
      <c r="X107" s="44"/>
      <c r="Y107" s="44"/>
      <c r="Z107" s="44"/>
      <c r="AA107" s="44"/>
      <c r="AB107" s="44"/>
      <c r="AC107" s="44"/>
      <c r="AD107" s="44"/>
      <c r="AE107" s="44"/>
      <c r="AF107" s="44"/>
      <c r="AG107" s="44"/>
      <c r="AH107" s="44"/>
      <c r="AI107" s="44"/>
    </row>
    <row r="108" spans="1:35" s="186" customFormat="1" ht="24" customHeight="1" x14ac:dyDescent="0.25">
      <c r="A108" s="25">
        <v>97</v>
      </c>
      <c r="B108" s="34" t="s">
        <v>981</v>
      </c>
      <c r="C108" s="75">
        <f t="shared" si="6"/>
        <v>285156.96999999997</v>
      </c>
      <c r="D108" s="75">
        <f t="shared" si="5"/>
        <v>0</v>
      </c>
      <c r="E108" s="87">
        <v>0</v>
      </c>
      <c r="F108" s="87">
        <v>0</v>
      </c>
      <c r="G108" s="87">
        <v>0</v>
      </c>
      <c r="H108" s="87">
        <v>0</v>
      </c>
      <c r="I108" s="87">
        <v>0</v>
      </c>
      <c r="J108" s="152">
        <v>0</v>
      </c>
      <c r="K108" s="75">
        <v>0</v>
      </c>
      <c r="L108" s="75">
        <v>0</v>
      </c>
      <c r="M108" s="75">
        <v>0</v>
      </c>
      <c r="N108" s="75">
        <v>0</v>
      </c>
      <c r="O108" s="75">
        <v>0</v>
      </c>
      <c r="P108" s="87">
        <v>285156.96999999997</v>
      </c>
      <c r="Q108" s="75">
        <v>0</v>
      </c>
      <c r="R108" s="75">
        <v>0</v>
      </c>
      <c r="S108" s="75">
        <v>0</v>
      </c>
      <c r="T108" s="75">
        <v>0</v>
      </c>
      <c r="U108" s="238"/>
      <c r="V108" s="238"/>
    </row>
    <row r="109" spans="1:35" s="186" customFormat="1" ht="24" customHeight="1" x14ac:dyDescent="0.25">
      <c r="A109" s="25">
        <v>98</v>
      </c>
      <c r="B109" s="34" t="s">
        <v>181</v>
      </c>
      <c r="C109" s="75">
        <f t="shared" si="6"/>
        <v>2290444.2999999998</v>
      </c>
      <c r="D109" s="75">
        <f t="shared" si="5"/>
        <v>2290444.2999999998</v>
      </c>
      <c r="E109" s="87">
        <v>0</v>
      </c>
      <c r="F109" s="87">
        <v>2290444.2999999998</v>
      </c>
      <c r="G109" s="87">
        <v>0</v>
      </c>
      <c r="H109" s="87">
        <v>0</v>
      </c>
      <c r="I109" s="87">
        <v>0</v>
      </c>
      <c r="J109" s="152">
        <v>0</v>
      </c>
      <c r="K109" s="75">
        <v>0</v>
      </c>
      <c r="L109" s="75">
        <v>0</v>
      </c>
      <c r="M109" s="75">
        <v>0</v>
      </c>
      <c r="N109" s="87">
        <v>0</v>
      </c>
      <c r="O109" s="75">
        <v>0</v>
      </c>
      <c r="P109" s="87">
        <v>0</v>
      </c>
      <c r="Q109" s="75">
        <v>0</v>
      </c>
      <c r="R109" s="75">
        <v>0</v>
      </c>
      <c r="S109" s="75">
        <v>0</v>
      </c>
      <c r="T109" s="75">
        <v>0</v>
      </c>
      <c r="U109" s="239"/>
      <c r="V109" s="239"/>
    </row>
    <row r="110" spans="1:35" s="186" customFormat="1" ht="24" customHeight="1" x14ac:dyDescent="0.25">
      <c r="A110" s="25">
        <v>99</v>
      </c>
      <c r="B110" s="34" t="s">
        <v>982</v>
      </c>
      <c r="C110" s="75">
        <f t="shared" si="6"/>
        <v>8786046.040000001</v>
      </c>
      <c r="D110" s="75">
        <f t="shared" si="5"/>
        <v>0</v>
      </c>
      <c r="E110" s="87">
        <v>0</v>
      </c>
      <c r="F110" s="75">
        <v>0</v>
      </c>
      <c r="G110" s="75">
        <v>0</v>
      </c>
      <c r="H110" s="87">
        <v>0</v>
      </c>
      <c r="I110" s="75">
        <v>0</v>
      </c>
      <c r="J110" s="152">
        <v>0</v>
      </c>
      <c r="K110" s="75">
        <v>0</v>
      </c>
      <c r="L110" s="87">
        <v>8604155.4600000009</v>
      </c>
      <c r="M110" s="75">
        <v>0</v>
      </c>
      <c r="N110" s="75">
        <v>0</v>
      </c>
      <c r="O110" s="75">
        <v>0</v>
      </c>
      <c r="P110" s="87">
        <v>181890.58</v>
      </c>
      <c r="Q110" s="75">
        <v>0</v>
      </c>
      <c r="R110" s="75">
        <v>0</v>
      </c>
      <c r="S110" s="75">
        <v>0</v>
      </c>
      <c r="T110" s="75">
        <v>0</v>
      </c>
      <c r="U110" s="239"/>
      <c r="V110" s="239"/>
    </row>
    <row r="111" spans="1:35" s="186" customFormat="1" ht="24" customHeight="1" x14ac:dyDescent="0.25">
      <c r="A111" s="25">
        <v>100</v>
      </c>
      <c r="B111" s="34" t="s">
        <v>983</v>
      </c>
      <c r="C111" s="75">
        <f t="shared" si="6"/>
        <v>163729.57999999999</v>
      </c>
      <c r="D111" s="75">
        <f t="shared" si="5"/>
        <v>0</v>
      </c>
      <c r="E111" s="87">
        <v>0</v>
      </c>
      <c r="F111" s="75">
        <v>0</v>
      </c>
      <c r="G111" s="75">
        <v>0</v>
      </c>
      <c r="H111" s="87">
        <v>0</v>
      </c>
      <c r="I111" s="75">
        <v>0</v>
      </c>
      <c r="J111" s="152">
        <v>0</v>
      </c>
      <c r="K111" s="75">
        <v>0</v>
      </c>
      <c r="L111" s="87">
        <v>0</v>
      </c>
      <c r="M111" s="75">
        <v>0</v>
      </c>
      <c r="N111" s="75">
        <v>0</v>
      </c>
      <c r="O111" s="75">
        <v>0</v>
      </c>
      <c r="P111" s="87">
        <v>163729.57999999999</v>
      </c>
      <c r="Q111" s="75">
        <v>0</v>
      </c>
      <c r="R111" s="75">
        <v>0</v>
      </c>
      <c r="S111" s="75">
        <v>0</v>
      </c>
      <c r="T111" s="75">
        <v>0</v>
      </c>
      <c r="U111" s="238"/>
      <c r="V111" s="238"/>
    </row>
    <row r="112" spans="1:35" s="186" customFormat="1" ht="24" customHeight="1" x14ac:dyDescent="0.25">
      <c r="A112" s="25">
        <v>101</v>
      </c>
      <c r="B112" s="34" t="s">
        <v>984</v>
      </c>
      <c r="C112" s="75">
        <f t="shared" si="6"/>
        <v>220295.2</v>
      </c>
      <c r="D112" s="75">
        <f>SUM(E112:I112)</f>
        <v>0</v>
      </c>
      <c r="E112" s="87">
        <v>0</v>
      </c>
      <c r="F112" s="75">
        <v>0</v>
      </c>
      <c r="G112" s="75">
        <v>0</v>
      </c>
      <c r="H112" s="87">
        <v>0</v>
      </c>
      <c r="I112" s="75">
        <v>0</v>
      </c>
      <c r="J112" s="152">
        <v>0</v>
      </c>
      <c r="K112" s="75">
        <v>0</v>
      </c>
      <c r="L112" s="75">
        <v>0</v>
      </c>
      <c r="M112" s="75">
        <v>0</v>
      </c>
      <c r="N112" s="75">
        <v>0</v>
      </c>
      <c r="O112" s="75">
        <v>0</v>
      </c>
      <c r="P112" s="87">
        <v>220295.2</v>
      </c>
      <c r="Q112" s="75">
        <v>0</v>
      </c>
      <c r="R112" s="75">
        <v>0</v>
      </c>
      <c r="S112" s="75">
        <v>0</v>
      </c>
      <c r="T112" s="75">
        <v>0</v>
      </c>
      <c r="U112" s="238"/>
      <c r="V112" s="238"/>
    </row>
    <row r="113" spans="1:35" s="186" customFormat="1" ht="24" customHeight="1" x14ac:dyDescent="0.25">
      <c r="A113" s="25">
        <v>102</v>
      </c>
      <c r="B113" s="34" t="s">
        <v>186</v>
      </c>
      <c r="C113" s="75">
        <f t="shared" si="6"/>
        <v>5559673.54</v>
      </c>
      <c r="D113" s="75">
        <f t="shared" si="5"/>
        <v>0</v>
      </c>
      <c r="E113" s="87">
        <v>0</v>
      </c>
      <c r="F113" s="75">
        <v>0</v>
      </c>
      <c r="G113" s="75">
        <v>0</v>
      </c>
      <c r="H113" s="87">
        <v>0</v>
      </c>
      <c r="I113" s="75">
        <v>0</v>
      </c>
      <c r="J113" s="152">
        <v>0</v>
      </c>
      <c r="K113" s="75">
        <v>0</v>
      </c>
      <c r="L113" s="75">
        <v>0</v>
      </c>
      <c r="M113" s="75">
        <v>0</v>
      </c>
      <c r="N113" s="87">
        <v>5559673.54</v>
      </c>
      <c r="O113" s="75">
        <v>0</v>
      </c>
      <c r="P113" s="75">
        <v>0</v>
      </c>
      <c r="Q113" s="75">
        <v>0</v>
      </c>
      <c r="R113" s="75">
        <v>0</v>
      </c>
      <c r="S113" s="75">
        <v>0</v>
      </c>
      <c r="T113" s="75">
        <v>0</v>
      </c>
      <c r="U113" s="238"/>
      <c r="V113" s="238"/>
    </row>
    <row r="114" spans="1:35" s="186" customFormat="1" ht="24" customHeight="1" x14ac:dyDescent="0.25">
      <c r="A114" s="25">
        <v>103</v>
      </c>
      <c r="B114" s="34" t="s">
        <v>985</v>
      </c>
      <c r="C114" s="75">
        <f t="shared" si="6"/>
        <v>6562018.6600000001</v>
      </c>
      <c r="D114" s="75">
        <f t="shared" si="5"/>
        <v>0</v>
      </c>
      <c r="E114" s="87">
        <v>0</v>
      </c>
      <c r="F114" s="75">
        <v>0</v>
      </c>
      <c r="G114" s="75">
        <v>0</v>
      </c>
      <c r="H114" s="87">
        <v>0</v>
      </c>
      <c r="I114" s="75">
        <v>0</v>
      </c>
      <c r="J114" s="152">
        <v>2</v>
      </c>
      <c r="K114" s="87">
        <v>6447135.7999999998</v>
      </c>
      <c r="L114" s="75">
        <v>0</v>
      </c>
      <c r="M114" s="75">
        <v>0</v>
      </c>
      <c r="N114" s="75">
        <v>0</v>
      </c>
      <c r="O114" s="75">
        <v>0</v>
      </c>
      <c r="P114" s="87">
        <v>114882.86</v>
      </c>
      <c r="Q114" s="75">
        <v>0</v>
      </c>
      <c r="R114" s="75">
        <v>0</v>
      </c>
      <c r="S114" s="75">
        <v>0</v>
      </c>
      <c r="T114" s="75">
        <v>0</v>
      </c>
      <c r="U114" s="239"/>
      <c r="V114" s="239"/>
    </row>
    <row r="115" spans="1:35" s="186" customFormat="1" ht="24" customHeight="1" x14ac:dyDescent="0.25">
      <c r="A115" s="25">
        <v>104</v>
      </c>
      <c r="B115" s="34" t="s">
        <v>986</v>
      </c>
      <c r="C115" s="75">
        <f t="shared" si="6"/>
        <v>5559998.6600000001</v>
      </c>
      <c r="D115" s="75">
        <f t="shared" si="5"/>
        <v>4964117.4800000004</v>
      </c>
      <c r="E115" s="87">
        <v>4964117.4800000004</v>
      </c>
      <c r="F115" s="75">
        <v>0</v>
      </c>
      <c r="G115" s="75">
        <v>0</v>
      </c>
      <c r="H115" s="87">
        <v>0</v>
      </c>
      <c r="I115" s="75">
        <v>0</v>
      </c>
      <c r="J115" s="152">
        <v>0</v>
      </c>
      <c r="K115" s="75">
        <v>0</v>
      </c>
      <c r="L115" s="75">
        <v>0</v>
      </c>
      <c r="M115" s="75">
        <v>0</v>
      </c>
      <c r="N115" s="87">
        <v>0</v>
      </c>
      <c r="O115" s="75">
        <v>0</v>
      </c>
      <c r="P115" s="75">
        <f>275160.04+320721.14</f>
        <v>595881.17999999993</v>
      </c>
      <c r="Q115" s="75">
        <v>0</v>
      </c>
      <c r="R115" s="75">
        <v>0</v>
      </c>
      <c r="S115" s="75">
        <v>0</v>
      </c>
      <c r="T115" s="75">
        <v>0</v>
      </c>
      <c r="U115" s="238"/>
      <c r="V115" s="238"/>
    </row>
    <row r="116" spans="1:35" s="186" customFormat="1" ht="24" customHeight="1" x14ac:dyDescent="0.25">
      <c r="A116" s="25">
        <v>105</v>
      </c>
      <c r="B116" s="34" t="s">
        <v>987</v>
      </c>
      <c r="C116" s="75">
        <f t="shared" si="6"/>
        <v>200350.98</v>
      </c>
      <c r="D116" s="75">
        <f>SUM(E116:I116)</f>
        <v>0</v>
      </c>
      <c r="E116" s="87">
        <v>0</v>
      </c>
      <c r="F116" s="75">
        <v>0</v>
      </c>
      <c r="G116" s="75">
        <v>0</v>
      </c>
      <c r="H116" s="87">
        <v>0</v>
      </c>
      <c r="I116" s="75">
        <v>0</v>
      </c>
      <c r="J116" s="152">
        <v>0</v>
      </c>
      <c r="K116" s="75">
        <v>0</v>
      </c>
      <c r="L116" s="75">
        <v>0</v>
      </c>
      <c r="M116" s="75">
        <v>0</v>
      </c>
      <c r="N116" s="87">
        <v>0</v>
      </c>
      <c r="O116" s="75">
        <v>0</v>
      </c>
      <c r="P116" s="87">
        <v>200350.98</v>
      </c>
      <c r="Q116" s="75">
        <v>0</v>
      </c>
      <c r="R116" s="75">
        <v>0</v>
      </c>
      <c r="S116" s="75">
        <v>0</v>
      </c>
      <c r="T116" s="75">
        <v>0</v>
      </c>
      <c r="U116" s="239"/>
      <c r="V116" s="239"/>
    </row>
    <row r="117" spans="1:35" s="186" customFormat="1" ht="24" customHeight="1" x14ac:dyDescent="0.25">
      <c r="A117" s="25">
        <v>106</v>
      </c>
      <c r="B117" s="34" t="s">
        <v>988</v>
      </c>
      <c r="C117" s="75">
        <f t="shared" si="6"/>
        <v>17165455</v>
      </c>
      <c r="D117" s="75">
        <f t="shared" si="5"/>
        <v>0</v>
      </c>
      <c r="E117" s="87">
        <v>0</v>
      </c>
      <c r="F117" s="75">
        <v>0</v>
      </c>
      <c r="G117" s="75">
        <v>0</v>
      </c>
      <c r="H117" s="87">
        <v>0</v>
      </c>
      <c r="I117" s="75">
        <v>0</v>
      </c>
      <c r="J117" s="152">
        <v>0</v>
      </c>
      <c r="K117" s="75">
        <v>0</v>
      </c>
      <c r="L117" s="87">
        <v>16380805.75</v>
      </c>
      <c r="M117" s="75">
        <v>0</v>
      </c>
      <c r="N117" s="75">
        <v>0</v>
      </c>
      <c r="O117" s="75">
        <v>0</v>
      </c>
      <c r="P117" s="87">
        <f>229396.52+173266.34+381986.39</f>
        <v>784649.25</v>
      </c>
      <c r="Q117" s="75">
        <v>0</v>
      </c>
      <c r="R117" s="75">
        <v>0</v>
      </c>
      <c r="S117" s="75">
        <v>0</v>
      </c>
      <c r="T117" s="75">
        <v>0</v>
      </c>
      <c r="U117" s="238"/>
      <c r="V117" s="238"/>
    </row>
    <row r="118" spans="1:35" s="186" customFormat="1" ht="24" customHeight="1" x14ac:dyDescent="0.25">
      <c r="A118" s="25">
        <v>107</v>
      </c>
      <c r="B118" s="34" t="s">
        <v>989</v>
      </c>
      <c r="C118" s="75">
        <f t="shared" si="6"/>
        <v>189520</v>
      </c>
      <c r="D118" s="75">
        <f t="shared" si="5"/>
        <v>0</v>
      </c>
      <c r="E118" s="87">
        <v>0</v>
      </c>
      <c r="F118" s="75">
        <v>0</v>
      </c>
      <c r="G118" s="75">
        <v>0</v>
      </c>
      <c r="H118" s="87">
        <v>0</v>
      </c>
      <c r="I118" s="75">
        <v>0</v>
      </c>
      <c r="J118" s="152">
        <v>0</v>
      </c>
      <c r="K118" s="75">
        <v>0</v>
      </c>
      <c r="L118" s="75">
        <v>0</v>
      </c>
      <c r="M118" s="75">
        <v>0</v>
      </c>
      <c r="N118" s="75">
        <v>0</v>
      </c>
      <c r="O118" s="75">
        <v>0</v>
      </c>
      <c r="P118" s="87">
        <v>189520</v>
      </c>
      <c r="Q118" s="75">
        <v>0</v>
      </c>
      <c r="R118" s="75">
        <v>0</v>
      </c>
      <c r="S118" s="75">
        <v>0</v>
      </c>
      <c r="T118" s="75">
        <v>0</v>
      </c>
      <c r="U118" s="238"/>
      <c r="V118" s="238"/>
    </row>
    <row r="119" spans="1:35" s="186" customFormat="1" ht="24" customHeight="1" x14ac:dyDescent="0.25">
      <c r="A119" s="25">
        <v>108</v>
      </c>
      <c r="B119" s="34" t="s">
        <v>990</v>
      </c>
      <c r="C119" s="75">
        <f t="shared" si="6"/>
        <v>221624.47</v>
      </c>
      <c r="D119" s="75">
        <f t="shared" si="5"/>
        <v>0</v>
      </c>
      <c r="E119" s="87">
        <v>0</v>
      </c>
      <c r="F119" s="87">
        <v>0</v>
      </c>
      <c r="G119" s="75">
        <v>0</v>
      </c>
      <c r="H119" s="87">
        <v>0</v>
      </c>
      <c r="I119" s="87">
        <v>0</v>
      </c>
      <c r="J119" s="152">
        <v>0</v>
      </c>
      <c r="K119" s="75">
        <v>0</v>
      </c>
      <c r="L119" s="75">
        <v>0</v>
      </c>
      <c r="M119" s="75">
        <v>0</v>
      </c>
      <c r="N119" s="75">
        <v>0</v>
      </c>
      <c r="O119" s="75">
        <v>0</v>
      </c>
      <c r="P119" s="87">
        <v>221624.47</v>
      </c>
      <c r="Q119" s="75">
        <v>0</v>
      </c>
      <c r="R119" s="75">
        <v>0</v>
      </c>
      <c r="S119" s="75">
        <v>0</v>
      </c>
      <c r="T119" s="75">
        <v>0</v>
      </c>
      <c r="U119" s="238"/>
      <c r="V119" s="238"/>
    </row>
    <row r="120" spans="1:35" s="186" customFormat="1" ht="24" customHeight="1" x14ac:dyDescent="0.25">
      <c r="A120" s="25">
        <v>109</v>
      </c>
      <c r="B120" s="38" t="s">
        <v>991</v>
      </c>
      <c r="C120" s="75">
        <f t="shared" si="6"/>
        <v>6353757.7700000014</v>
      </c>
      <c r="D120" s="75">
        <f t="shared" si="5"/>
        <v>6080434.3200000012</v>
      </c>
      <c r="E120" s="87">
        <v>2773249.2</v>
      </c>
      <c r="F120" s="87">
        <v>2646851.35</v>
      </c>
      <c r="G120" s="75">
        <v>0</v>
      </c>
      <c r="H120" s="87">
        <v>332717.40999999997</v>
      </c>
      <c r="I120" s="87">
        <v>327616.36</v>
      </c>
      <c r="J120" s="152">
        <v>0</v>
      </c>
      <c r="K120" s="75">
        <v>0</v>
      </c>
      <c r="L120" s="75">
        <v>0</v>
      </c>
      <c r="M120" s="75">
        <v>0</v>
      </c>
      <c r="N120" s="75">
        <v>0</v>
      </c>
      <c r="O120" s="75">
        <v>0</v>
      </c>
      <c r="P120" s="87">
        <v>273323.45</v>
      </c>
      <c r="Q120" s="75">
        <v>0</v>
      </c>
      <c r="R120" s="75">
        <v>0</v>
      </c>
      <c r="S120" s="75">
        <v>0</v>
      </c>
      <c r="T120" s="75">
        <v>0</v>
      </c>
      <c r="U120" s="239"/>
      <c r="V120" s="239"/>
    </row>
    <row r="121" spans="1:35" s="186" customFormat="1" ht="24" customHeight="1" x14ac:dyDescent="0.25">
      <c r="A121" s="25">
        <v>110</v>
      </c>
      <c r="B121" s="39" t="s">
        <v>992</v>
      </c>
      <c r="C121" s="75">
        <f t="shared" si="6"/>
        <v>190384.1</v>
      </c>
      <c r="D121" s="75">
        <f t="shared" si="5"/>
        <v>0</v>
      </c>
      <c r="E121" s="87">
        <v>0</v>
      </c>
      <c r="F121" s="87">
        <v>0</v>
      </c>
      <c r="G121" s="87">
        <v>0</v>
      </c>
      <c r="H121" s="87">
        <v>0</v>
      </c>
      <c r="I121" s="87">
        <v>0</v>
      </c>
      <c r="J121" s="152">
        <v>0</v>
      </c>
      <c r="K121" s="75">
        <v>0</v>
      </c>
      <c r="L121" s="75">
        <v>0</v>
      </c>
      <c r="M121" s="75">
        <v>0</v>
      </c>
      <c r="N121" s="87">
        <v>0</v>
      </c>
      <c r="O121" s="75">
        <v>0</v>
      </c>
      <c r="P121" s="87">
        <v>190384.1</v>
      </c>
      <c r="Q121" s="75">
        <v>0</v>
      </c>
      <c r="R121" s="75">
        <v>0</v>
      </c>
      <c r="S121" s="75">
        <v>0</v>
      </c>
      <c r="T121" s="75">
        <v>0</v>
      </c>
      <c r="U121" s="239"/>
      <c r="V121" s="239"/>
    </row>
    <row r="122" spans="1:35" s="186" customFormat="1" ht="24" customHeight="1" x14ac:dyDescent="0.25">
      <c r="A122" s="25">
        <v>111</v>
      </c>
      <c r="B122" s="39" t="s">
        <v>196</v>
      </c>
      <c r="C122" s="75">
        <f t="shared" si="6"/>
        <v>5555915.9100000001</v>
      </c>
      <c r="D122" s="75">
        <f t="shared" si="5"/>
        <v>0</v>
      </c>
      <c r="E122" s="87">
        <v>0</v>
      </c>
      <c r="F122" s="75">
        <v>0</v>
      </c>
      <c r="G122" s="75">
        <v>0</v>
      </c>
      <c r="H122" s="87">
        <v>0</v>
      </c>
      <c r="I122" s="75">
        <v>0</v>
      </c>
      <c r="J122" s="152">
        <v>0</v>
      </c>
      <c r="K122" s="75">
        <v>0</v>
      </c>
      <c r="L122" s="87">
        <v>5555915.9100000001</v>
      </c>
      <c r="M122" s="75">
        <v>0</v>
      </c>
      <c r="N122" s="75">
        <v>0</v>
      </c>
      <c r="O122" s="75">
        <v>0</v>
      </c>
      <c r="P122" s="75">
        <v>0</v>
      </c>
      <c r="Q122" s="75">
        <v>0</v>
      </c>
      <c r="R122" s="75">
        <v>0</v>
      </c>
      <c r="S122" s="75">
        <v>0</v>
      </c>
      <c r="T122" s="75">
        <v>0</v>
      </c>
      <c r="U122" s="238"/>
      <c r="V122" s="238"/>
    </row>
    <row r="123" spans="1:35" s="186" customFormat="1" ht="24" customHeight="1" x14ac:dyDescent="0.25">
      <c r="A123" s="25">
        <v>112</v>
      </c>
      <c r="B123" s="39" t="s">
        <v>993</v>
      </c>
      <c r="C123" s="75">
        <f t="shared" si="6"/>
        <v>293968.81</v>
      </c>
      <c r="D123" s="75">
        <f t="shared" si="5"/>
        <v>0</v>
      </c>
      <c r="E123" s="87">
        <v>0</v>
      </c>
      <c r="F123" s="87">
        <v>0</v>
      </c>
      <c r="G123" s="87">
        <v>0</v>
      </c>
      <c r="H123" s="87">
        <v>0</v>
      </c>
      <c r="I123" s="87">
        <v>0</v>
      </c>
      <c r="J123" s="152">
        <v>0</v>
      </c>
      <c r="K123" s="75">
        <v>0</v>
      </c>
      <c r="L123" s="75">
        <v>0</v>
      </c>
      <c r="M123" s="75">
        <v>0</v>
      </c>
      <c r="N123" s="87">
        <v>0</v>
      </c>
      <c r="O123" s="75">
        <v>0</v>
      </c>
      <c r="P123" s="87">
        <v>293968.81</v>
      </c>
      <c r="Q123" s="75">
        <v>0</v>
      </c>
      <c r="R123" s="75">
        <v>0</v>
      </c>
      <c r="S123" s="75">
        <v>0</v>
      </c>
      <c r="T123" s="75">
        <v>0</v>
      </c>
      <c r="U123" s="239"/>
      <c r="V123" s="239"/>
    </row>
    <row r="124" spans="1:35" s="186" customFormat="1" ht="24" customHeight="1" x14ac:dyDescent="0.25">
      <c r="A124" s="25">
        <v>113</v>
      </c>
      <c r="B124" s="34" t="s">
        <v>994</v>
      </c>
      <c r="C124" s="75">
        <f t="shared" si="6"/>
        <v>135276.94</v>
      </c>
      <c r="D124" s="75">
        <f>SUM(E124:I124)</f>
        <v>0</v>
      </c>
      <c r="E124" s="87">
        <v>0</v>
      </c>
      <c r="F124" s="75">
        <v>0</v>
      </c>
      <c r="G124" s="75">
        <v>0</v>
      </c>
      <c r="H124" s="87">
        <v>0</v>
      </c>
      <c r="I124" s="87">
        <v>0</v>
      </c>
      <c r="J124" s="152">
        <v>0</v>
      </c>
      <c r="K124" s="75">
        <v>0</v>
      </c>
      <c r="L124" s="87">
        <v>0</v>
      </c>
      <c r="M124" s="75">
        <v>0</v>
      </c>
      <c r="N124" s="75">
        <v>0</v>
      </c>
      <c r="O124" s="75">
        <v>0</v>
      </c>
      <c r="P124" s="87">
        <v>135276.94</v>
      </c>
      <c r="Q124" s="75">
        <v>0</v>
      </c>
      <c r="R124" s="75">
        <v>0</v>
      </c>
      <c r="S124" s="75">
        <v>0</v>
      </c>
      <c r="T124" s="75">
        <v>0</v>
      </c>
      <c r="U124" s="239"/>
      <c r="V124" s="239"/>
      <c r="W124" s="40"/>
      <c r="X124" s="40"/>
      <c r="Y124" s="40"/>
      <c r="Z124" s="40"/>
      <c r="AA124" s="40"/>
      <c r="AB124" s="40"/>
      <c r="AC124" s="40"/>
      <c r="AD124" s="40"/>
      <c r="AE124" s="40"/>
      <c r="AF124" s="40"/>
      <c r="AG124" s="40"/>
      <c r="AH124" s="40"/>
      <c r="AI124" s="40"/>
    </row>
    <row r="125" spans="1:35" s="186" customFormat="1" ht="24" customHeight="1" x14ac:dyDescent="0.25">
      <c r="A125" s="25">
        <v>114</v>
      </c>
      <c r="B125" s="34" t="s">
        <v>995</v>
      </c>
      <c r="C125" s="75">
        <f t="shared" si="6"/>
        <v>8412000.1400000006</v>
      </c>
      <c r="D125" s="75">
        <f t="shared" si="5"/>
        <v>0</v>
      </c>
      <c r="E125" s="87">
        <v>0</v>
      </c>
      <c r="F125" s="75">
        <v>0</v>
      </c>
      <c r="G125" s="75">
        <v>0</v>
      </c>
      <c r="H125" s="87">
        <v>0</v>
      </c>
      <c r="I125" s="87">
        <v>0</v>
      </c>
      <c r="J125" s="152">
        <v>0</v>
      </c>
      <c r="K125" s="75">
        <v>0</v>
      </c>
      <c r="L125" s="87">
        <v>8224301.7300000004</v>
      </c>
      <c r="M125" s="75">
        <v>0</v>
      </c>
      <c r="N125" s="75">
        <v>0</v>
      </c>
      <c r="O125" s="75">
        <v>0</v>
      </c>
      <c r="P125" s="87">
        <v>187698.41</v>
      </c>
      <c r="Q125" s="75">
        <v>0</v>
      </c>
      <c r="R125" s="75">
        <v>0</v>
      </c>
      <c r="S125" s="75">
        <v>0</v>
      </c>
      <c r="T125" s="75">
        <v>0</v>
      </c>
      <c r="U125" s="239"/>
      <c r="V125" s="239"/>
    </row>
    <row r="126" spans="1:35" s="186" customFormat="1" ht="24" customHeight="1" x14ac:dyDescent="0.25">
      <c r="A126" s="25">
        <v>115</v>
      </c>
      <c r="B126" s="34" t="s">
        <v>996</v>
      </c>
      <c r="C126" s="75">
        <f t="shared" si="6"/>
        <v>9240034.6799999997</v>
      </c>
      <c r="D126" s="75">
        <f t="shared" si="5"/>
        <v>0</v>
      </c>
      <c r="E126" s="87">
        <v>0</v>
      </c>
      <c r="F126" s="75">
        <v>0</v>
      </c>
      <c r="G126" s="75">
        <v>0</v>
      </c>
      <c r="H126" s="87">
        <v>0</v>
      </c>
      <c r="I126" s="87">
        <v>0</v>
      </c>
      <c r="J126" s="152">
        <v>0</v>
      </c>
      <c r="K126" s="75">
        <v>0</v>
      </c>
      <c r="L126" s="87">
        <v>8968243.6899999995</v>
      </c>
      <c r="M126" s="75">
        <v>0</v>
      </c>
      <c r="N126" s="75">
        <v>0</v>
      </c>
      <c r="O126" s="75">
        <v>0</v>
      </c>
      <c r="P126" s="87">
        <v>271790.99</v>
      </c>
      <c r="Q126" s="75">
        <v>0</v>
      </c>
      <c r="R126" s="75">
        <v>0</v>
      </c>
      <c r="S126" s="75">
        <v>0</v>
      </c>
      <c r="T126" s="75">
        <v>0</v>
      </c>
      <c r="U126" s="239"/>
      <c r="V126" s="239"/>
    </row>
    <row r="127" spans="1:35" s="186" customFormat="1" ht="24" customHeight="1" x14ac:dyDescent="0.25">
      <c r="A127" s="25">
        <v>116</v>
      </c>
      <c r="B127" s="34" t="s">
        <v>202</v>
      </c>
      <c r="C127" s="75">
        <f t="shared" si="6"/>
        <v>9536674.4700000007</v>
      </c>
      <c r="D127" s="75">
        <f t="shared" si="5"/>
        <v>0</v>
      </c>
      <c r="E127" s="87">
        <v>0</v>
      </c>
      <c r="F127" s="75">
        <v>0</v>
      </c>
      <c r="G127" s="75">
        <v>0</v>
      </c>
      <c r="H127" s="87">
        <v>0</v>
      </c>
      <c r="I127" s="87">
        <v>0</v>
      </c>
      <c r="J127" s="152">
        <v>0</v>
      </c>
      <c r="K127" s="75">
        <v>0</v>
      </c>
      <c r="L127" s="87">
        <v>0</v>
      </c>
      <c r="M127" s="75">
        <v>0</v>
      </c>
      <c r="N127" s="75">
        <v>0</v>
      </c>
      <c r="O127" s="75">
        <v>0</v>
      </c>
      <c r="P127" s="87">
        <v>0</v>
      </c>
      <c r="Q127" s="75">
        <v>0</v>
      </c>
      <c r="R127" s="75">
        <v>0</v>
      </c>
      <c r="S127" s="75">
        <v>9536674.4700000007</v>
      </c>
      <c r="T127" s="75">
        <v>0</v>
      </c>
      <c r="U127" s="239"/>
      <c r="V127" s="239"/>
    </row>
    <row r="128" spans="1:35" s="186" customFormat="1" ht="24" customHeight="1" x14ac:dyDescent="0.25">
      <c r="A128" s="25">
        <v>117</v>
      </c>
      <c r="B128" s="34" t="s">
        <v>204</v>
      </c>
      <c r="C128" s="75">
        <f t="shared" si="6"/>
        <v>1598815.32</v>
      </c>
      <c r="D128" s="75">
        <f t="shared" ref="D128:D130" si="7">SUM(E128:I128)</f>
        <v>1598815.32</v>
      </c>
      <c r="E128" s="87">
        <v>0</v>
      </c>
      <c r="F128" s="75">
        <v>0</v>
      </c>
      <c r="G128" s="75">
        <v>1598815.32</v>
      </c>
      <c r="H128" s="87">
        <v>0</v>
      </c>
      <c r="I128" s="87">
        <v>0</v>
      </c>
      <c r="J128" s="152">
        <v>0</v>
      </c>
      <c r="K128" s="75">
        <v>0</v>
      </c>
      <c r="L128" s="87">
        <v>0</v>
      </c>
      <c r="M128" s="75">
        <v>0</v>
      </c>
      <c r="N128" s="75">
        <v>0</v>
      </c>
      <c r="O128" s="75">
        <v>0</v>
      </c>
      <c r="P128" s="87">
        <v>0</v>
      </c>
      <c r="Q128" s="75">
        <v>0</v>
      </c>
      <c r="R128" s="75">
        <v>0</v>
      </c>
      <c r="S128" s="75">
        <v>0</v>
      </c>
      <c r="T128" s="75">
        <v>0</v>
      </c>
      <c r="U128" s="239"/>
      <c r="V128" s="239"/>
    </row>
    <row r="129" spans="1:22" s="186" customFormat="1" ht="24" customHeight="1" x14ac:dyDescent="0.25">
      <c r="A129" s="25">
        <v>118</v>
      </c>
      <c r="B129" s="34" t="s">
        <v>997</v>
      </c>
      <c r="C129" s="75">
        <f t="shared" si="6"/>
        <v>3473605.5100000002</v>
      </c>
      <c r="D129" s="75">
        <f t="shared" si="7"/>
        <v>3196083.91</v>
      </c>
      <c r="E129" s="87">
        <v>3196083.91</v>
      </c>
      <c r="F129" s="75">
        <v>0</v>
      </c>
      <c r="G129" s="75">
        <v>0</v>
      </c>
      <c r="H129" s="87">
        <v>0</v>
      </c>
      <c r="I129" s="87">
        <v>0</v>
      </c>
      <c r="J129" s="152">
        <v>0</v>
      </c>
      <c r="K129" s="75">
        <v>0</v>
      </c>
      <c r="L129" s="87">
        <v>0</v>
      </c>
      <c r="M129" s="75">
        <v>0</v>
      </c>
      <c r="N129" s="75">
        <v>0</v>
      </c>
      <c r="O129" s="75">
        <v>0</v>
      </c>
      <c r="P129" s="87">
        <v>277521.59999999998</v>
      </c>
      <c r="Q129" s="75">
        <v>0</v>
      </c>
      <c r="R129" s="75">
        <v>0</v>
      </c>
      <c r="S129" s="75">
        <v>0</v>
      </c>
      <c r="T129" s="75">
        <v>0</v>
      </c>
      <c r="U129" s="239"/>
      <c r="V129" s="239"/>
    </row>
    <row r="130" spans="1:22" s="186" customFormat="1" ht="24" customHeight="1" x14ac:dyDescent="0.25">
      <c r="A130" s="25">
        <v>119</v>
      </c>
      <c r="B130" s="34" t="s">
        <v>998</v>
      </c>
      <c r="C130" s="75">
        <f t="shared" si="6"/>
        <v>275400.2</v>
      </c>
      <c r="D130" s="75">
        <f t="shared" si="7"/>
        <v>0</v>
      </c>
      <c r="E130" s="87">
        <v>0</v>
      </c>
      <c r="F130" s="75">
        <v>0</v>
      </c>
      <c r="G130" s="75">
        <v>0</v>
      </c>
      <c r="H130" s="87">
        <v>0</v>
      </c>
      <c r="I130" s="75">
        <v>0</v>
      </c>
      <c r="J130" s="152">
        <v>0</v>
      </c>
      <c r="K130" s="75">
        <v>0</v>
      </c>
      <c r="L130" s="87">
        <v>0</v>
      </c>
      <c r="M130" s="75">
        <v>0</v>
      </c>
      <c r="N130" s="75">
        <v>0</v>
      </c>
      <c r="O130" s="75">
        <v>0</v>
      </c>
      <c r="P130" s="87">
        <v>275400.2</v>
      </c>
      <c r="Q130" s="75">
        <v>0</v>
      </c>
      <c r="R130" s="75">
        <v>0</v>
      </c>
      <c r="S130" s="75">
        <v>0</v>
      </c>
      <c r="T130" s="75">
        <v>0</v>
      </c>
      <c r="U130" s="238"/>
      <c r="V130" s="238"/>
    </row>
    <row r="131" spans="1:22" s="186" customFormat="1" ht="24" customHeight="1" x14ac:dyDescent="0.25">
      <c r="A131" s="25">
        <v>120</v>
      </c>
      <c r="B131" s="34" t="s">
        <v>999</v>
      </c>
      <c r="C131" s="75">
        <f t="shared" si="6"/>
        <v>15913259.58</v>
      </c>
      <c r="D131" s="75">
        <f t="shared" si="5"/>
        <v>5842342.6699999999</v>
      </c>
      <c r="E131" s="87">
        <v>0</v>
      </c>
      <c r="F131" s="87">
        <v>5385992.2699999996</v>
      </c>
      <c r="G131" s="87">
        <v>0</v>
      </c>
      <c r="H131" s="87">
        <v>456350.4</v>
      </c>
      <c r="I131" s="87">
        <v>0</v>
      </c>
      <c r="J131" s="152">
        <v>0</v>
      </c>
      <c r="K131" s="75">
        <v>0</v>
      </c>
      <c r="L131" s="87">
        <v>9541608.6099999994</v>
      </c>
      <c r="M131" s="75">
        <v>0</v>
      </c>
      <c r="N131" s="75">
        <v>0</v>
      </c>
      <c r="O131" s="75">
        <v>0</v>
      </c>
      <c r="P131" s="87">
        <v>529308.30000000005</v>
      </c>
      <c r="Q131" s="75">
        <v>0</v>
      </c>
      <c r="R131" s="75">
        <v>0</v>
      </c>
      <c r="S131" s="75">
        <v>0</v>
      </c>
      <c r="T131" s="75">
        <v>0</v>
      </c>
      <c r="U131" s="239"/>
      <c r="V131" s="239"/>
    </row>
    <row r="132" spans="1:22" s="186" customFormat="1" ht="24" customHeight="1" x14ac:dyDescent="0.25">
      <c r="A132" s="25">
        <v>121</v>
      </c>
      <c r="B132" s="34" t="s">
        <v>1000</v>
      </c>
      <c r="C132" s="75">
        <f t="shared" si="6"/>
        <v>541588.65</v>
      </c>
      <c r="D132" s="75">
        <f t="shared" si="5"/>
        <v>0</v>
      </c>
      <c r="E132" s="87">
        <v>0</v>
      </c>
      <c r="F132" s="87">
        <v>0</v>
      </c>
      <c r="G132" s="87">
        <v>0</v>
      </c>
      <c r="H132" s="87">
        <v>0</v>
      </c>
      <c r="I132" s="87">
        <v>0</v>
      </c>
      <c r="J132" s="152">
        <v>0</v>
      </c>
      <c r="K132" s="75">
        <v>0</v>
      </c>
      <c r="L132" s="75">
        <v>0</v>
      </c>
      <c r="M132" s="75">
        <v>0</v>
      </c>
      <c r="N132" s="87">
        <v>0</v>
      </c>
      <c r="O132" s="75">
        <v>0</v>
      </c>
      <c r="P132" s="87">
        <f>262744.15+278844.5</f>
        <v>541588.65</v>
      </c>
      <c r="Q132" s="75">
        <v>0</v>
      </c>
      <c r="R132" s="75">
        <v>0</v>
      </c>
      <c r="S132" s="75">
        <v>0</v>
      </c>
      <c r="T132" s="75">
        <v>0</v>
      </c>
      <c r="U132" s="238"/>
      <c r="V132" s="238"/>
    </row>
    <row r="133" spans="1:22" s="186" customFormat="1" ht="24" customHeight="1" x14ac:dyDescent="0.25">
      <c r="A133" s="25">
        <v>122</v>
      </c>
      <c r="B133" s="34" t="s">
        <v>1001</v>
      </c>
      <c r="C133" s="75">
        <f t="shared" si="6"/>
        <v>117955.6</v>
      </c>
      <c r="D133" s="75">
        <f t="shared" si="5"/>
        <v>0</v>
      </c>
      <c r="E133" s="87">
        <v>0</v>
      </c>
      <c r="F133" s="75">
        <v>0</v>
      </c>
      <c r="G133" s="87">
        <v>0</v>
      </c>
      <c r="H133" s="87">
        <v>0</v>
      </c>
      <c r="I133" s="87">
        <v>0</v>
      </c>
      <c r="J133" s="152">
        <v>0</v>
      </c>
      <c r="K133" s="75">
        <v>0</v>
      </c>
      <c r="L133" s="75">
        <v>0</v>
      </c>
      <c r="M133" s="75">
        <v>0</v>
      </c>
      <c r="N133" s="75">
        <v>0</v>
      </c>
      <c r="O133" s="75">
        <v>0</v>
      </c>
      <c r="P133" s="87">
        <v>117955.6</v>
      </c>
      <c r="Q133" s="75">
        <v>0</v>
      </c>
      <c r="R133" s="75">
        <v>0</v>
      </c>
      <c r="S133" s="75">
        <v>0</v>
      </c>
      <c r="T133" s="75">
        <v>0</v>
      </c>
      <c r="U133" s="238"/>
      <c r="V133" s="238"/>
    </row>
    <row r="134" spans="1:22" s="186" customFormat="1" ht="24" customHeight="1" x14ac:dyDescent="0.25">
      <c r="A134" s="25">
        <v>123</v>
      </c>
      <c r="B134" s="34" t="s">
        <v>1002</v>
      </c>
      <c r="C134" s="75">
        <f t="shared" si="6"/>
        <v>9352855.7899999991</v>
      </c>
      <c r="D134" s="75">
        <f t="shared" si="5"/>
        <v>0</v>
      </c>
      <c r="E134" s="87">
        <v>0</v>
      </c>
      <c r="F134" s="75">
        <v>0</v>
      </c>
      <c r="G134" s="75">
        <v>0</v>
      </c>
      <c r="H134" s="87">
        <v>0</v>
      </c>
      <c r="I134" s="87">
        <v>0</v>
      </c>
      <c r="J134" s="152">
        <v>0</v>
      </c>
      <c r="K134" s="75">
        <v>0</v>
      </c>
      <c r="L134" s="87">
        <v>9155428.8399999999</v>
      </c>
      <c r="M134" s="75">
        <v>0</v>
      </c>
      <c r="N134" s="75">
        <v>0</v>
      </c>
      <c r="O134" s="75">
        <v>0</v>
      </c>
      <c r="P134" s="87">
        <v>197426.95</v>
      </c>
      <c r="Q134" s="75">
        <v>0</v>
      </c>
      <c r="R134" s="75">
        <v>0</v>
      </c>
      <c r="S134" s="75">
        <v>0</v>
      </c>
      <c r="T134" s="75">
        <v>0</v>
      </c>
      <c r="U134" s="239"/>
      <c r="V134" s="239"/>
    </row>
    <row r="135" spans="1:22" s="186" customFormat="1" ht="24" customHeight="1" x14ac:dyDescent="0.25">
      <c r="A135" s="25">
        <v>124</v>
      </c>
      <c r="B135" s="34" t="s">
        <v>1003</v>
      </c>
      <c r="C135" s="75">
        <f t="shared" si="6"/>
        <v>11312793.350000001</v>
      </c>
      <c r="D135" s="75">
        <f t="shared" si="5"/>
        <v>11013824.600000001</v>
      </c>
      <c r="E135" s="87">
        <v>3862969.2</v>
      </c>
      <c r="F135" s="87">
        <v>7150855.4000000004</v>
      </c>
      <c r="G135" s="75">
        <v>0</v>
      </c>
      <c r="H135" s="87">
        <v>0</v>
      </c>
      <c r="I135" s="87">
        <v>0</v>
      </c>
      <c r="J135" s="152">
        <v>0</v>
      </c>
      <c r="K135" s="75">
        <v>0</v>
      </c>
      <c r="L135" s="87">
        <v>0</v>
      </c>
      <c r="M135" s="75">
        <v>0</v>
      </c>
      <c r="N135" s="75">
        <v>0</v>
      </c>
      <c r="O135" s="75">
        <v>0</v>
      </c>
      <c r="P135" s="87">
        <v>298968.75</v>
      </c>
      <c r="Q135" s="75">
        <v>0</v>
      </c>
      <c r="R135" s="75">
        <v>0</v>
      </c>
      <c r="S135" s="75">
        <v>0</v>
      </c>
      <c r="T135" s="75">
        <v>0</v>
      </c>
      <c r="U135" s="239"/>
      <c r="V135" s="239"/>
    </row>
    <row r="136" spans="1:22" s="186" customFormat="1" ht="24" customHeight="1" x14ac:dyDescent="0.25">
      <c r="A136" s="25">
        <v>125</v>
      </c>
      <c r="B136" s="34" t="s">
        <v>1004</v>
      </c>
      <c r="C136" s="75">
        <f t="shared" si="6"/>
        <v>514458</v>
      </c>
      <c r="D136" s="75">
        <f t="shared" ref="D136:D137" si="8">SUM(E136:I136)</f>
        <v>0</v>
      </c>
      <c r="E136" s="87">
        <v>0</v>
      </c>
      <c r="F136" s="75">
        <v>0</v>
      </c>
      <c r="G136" s="75">
        <v>0</v>
      </c>
      <c r="H136" s="87">
        <v>0</v>
      </c>
      <c r="I136" s="75">
        <v>0</v>
      </c>
      <c r="J136" s="152">
        <v>0</v>
      </c>
      <c r="K136" s="75">
        <v>0</v>
      </c>
      <c r="L136" s="87">
        <v>0</v>
      </c>
      <c r="M136" s="75">
        <v>0</v>
      </c>
      <c r="N136" s="87">
        <v>0</v>
      </c>
      <c r="O136" s="75">
        <v>0</v>
      </c>
      <c r="P136" s="75">
        <v>514458</v>
      </c>
      <c r="Q136" s="87">
        <v>0</v>
      </c>
      <c r="R136" s="87">
        <v>0</v>
      </c>
      <c r="S136" s="75">
        <v>0</v>
      </c>
      <c r="T136" s="75">
        <v>0</v>
      </c>
      <c r="U136" s="239"/>
      <c r="V136" s="239"/>
    </row>
    <row r="137" spans="1:22" s="186" customFormat="1" ht="24" customHeight="1" x14ac:dyDescent="0.25">
      <c r="A137" s="25">
        <v>126</v>
      </c>
      <c r="B137" s="34" t="s">
        <v>1005</v>
      </c>
      <c r="C137" s="75">
        <f t="shared" si="6"/>
        <v>1028916</v>
      </c>
      <c r="D137" s="75">
        <f t="shared" si="8"/>
        <v>0</v>
      </c>
      <c r="E137" s="87">
        <v>0</v>
      </c>
      <c r="F137" s="75">
        <v>0</v>
      </c>
      <c r="G137" s="75">
        <v>0</v>
      </c>
      <c r="H137" s="87">
        <v>0</v>
      </c>
      <c r="I137" s="75">
        <v>0</v>
      </c>
      <c r="J137" s="152">
        <v>0</v>
      </c>
      <c r="K137" s="75">
        <v>0</v>
      </c>
      <c r="L137" s="87">
        <v>0</v>
      </c>
      <c r="M137" s="75">
        <v>0</v>
      </c>
      <c r="N137" s="87">
        <v>0</v>
      </c>
      <c r="O137" s="75">
        <v>0</v>
      </c>
      <c r="P137" s="75">
        <f>514458+514458</f>
        <v>1028916</v>
      </c>
      <c r="Q137" s="87">
        <v>0</v>
      </c>
      <c r="R137" s="87">
        <v>0</v>
      </c>
      <c r="S137" s="75">
        <v>0</v>
      </c>
      <c r="T137" s="75">
        <v>0</v>
      </c>
      <c r="U137" s="239"/>
      <c r="V137" s="239"/>
    </row>
    <row r="138" spans="1:22" s="186" customFormat="1" ht="24" customHeight="1" x14ac:dyDescent="0.25">
      <c r="A138" s="25">
        <v>127</v>
      </c>
      <c r="B138" s="34" t="s">
        <v>1006</v>
      </c>
      <c r="C138" s="75">
        <f t="shared" si="6"/>
        <v>1008050.04</v>
      </c>
      <c r="D138" s="75">
        <f t="shared" si="5"/>
        <v>0</v>
      </c>
      <c r="E138" s="87">
        <v>0</v>
      </c>
      <c r="F138" s="75">
        <v>0</v>
      </c>
      <c r="G138" s="75">
        <v>0</v>
      </c>
      <c r="H138" s="87">
        <v>0</v>
      </c>
      <c r="I138" s="75">
        <v>0</v>
      </c>
      <c r="J138" s="152">
        <v>0</v>
      </c>
      <c r="K138" s="75">
        <v>0</v>
      </c>
      <c r="L138" s="87">
        <v>0</v>
      </c>
      <c r="M138" s="75">
        <v>0</v>
      </c>
      <c r="N138" s="87">
        <v>0</v>
      </c>
      <c r="O138" s="75">
        <v>0</v>
      </c>
      <c r="P138" s="75">
        <f>509294.54+498755.5</f>
        <v>1008050.04</v>
      </c>
      <c r="Q138" s="87">
        <v>0</v>
      </c>
      <c r="R138" s="87">
        <v>0</v>
      </c>
      <c r="S138" s="75">
        <v>0</v>
      </c>
      <c r="T138" s="75">
        <v>0</v>
      </c>
      <c r="U138" s="239"/>
      <c r="V138" s="239"/>
    </row>
    <row r="139" spans="1:22" s="186" customFormat="1" ht="24" customHeight="1" x14ac:dyDescent="0.25">
      <c r="A139" s="25">
        <v>128</v>
      </c>
      <c r="B139" s="34" t="s">
        <v>1007</v>
      </c>
      <c r="C139" s="75">
        <f t="shared" si="6"/>
        <v>1018685.69</v>
      </c>
      <c r="D139" s="75">
        <f t="shared" ref="D139:D202" si="9">SUM(E139:I139)</f>
        <v>0</v>
      </c>
      <c r="E139" s="87">
        <v>0</v>
      </c>
      <c r="F139" s="75">
        <v>0</v>
      </c>
      <c r="G139" s="75">
        <v>0</v>
      </c>
      <c r="H139" s="87">
        <v>0</v>
      </c>
      <c r="I139" s="75">
        <v>0</v>
      </c>
      <c r="J139" s="152">
        <v>0</v>
      </c>
      <c r="K139" s="75">
        <v>0</v>
      </c>
      <c r="L139" s="87">
        <v>0</v>
      </c>
      <c r="M139" s="75">
        <v>0</v>
      </c>
      <c r="N139" s="87">
        <v>0</v>
      </c>
      <c r="O139" s="75">
        <v>0</v>
      </c>
      <c r="P139" s="75">
        <f>504227.69+514458</f>
        <v>1018685.69</v>
      </c>
      <c r="Q139" s="87">
        <v>0</v>
      </c>
      <c r="R139" s="87">
        <v>0</v>
      </c>
      <c r="S139" s="75">
        <v>0</v>
      </c>
      <c r="T139" s="75">
        <v>0</v>
      </c>
      <c r="U139" s="239"/>
      <c r="V139" s="239"/>
    </row>
    <row r="140" spans="1:22" s="186" customFormat="1" ht="24" customHeight="1" x14ac:dyDescent="0.25">
      <c r="A140" s="25">
        <v>129</v>
      </c>
      <c r="B140" s="34" t="s">
        <v>222</v>
      </c>
      <c r="C140" s="75">
        <f t="shared" si="6"/>
        <v>1310089.47</v>
      </c>
      <c r="D140" s="75">
        <f t="shared" si="9"/>
        <v>1310089.47</v>
      </c>
      <c r="E140" s="87">
        <v>1310089.47</v>
      </c>
      <c r="F140" s="75">
        <v>0</v>
      </c>
      <c r="G140" s="75">
        <v>0</v>
      </c>
      <c r="H140" s="87">
        <v>0</v>
      </c>
      <c r="I140" s="75">
        <v>0</v>
      </c>
      <c r="J140" s="152">
        <v>0</v>
      </c>
      <c r="K140" s="75">
        <v>0</v>
      </c>
      <c r="L140" s="75">
        <v>0</v>
      </c>
      <c r="M140" s="75">
        <v>0</v>
      </c>
      <c r="N140" s="75">
        <v>0</v>
      </c>
      <c r="O140" s="75">
        <v>0</v>
      </c>
      <c r="P140" s="75">
        <v>0</v>
      </c>
      <c r="Q140" s="75">
        <v>0</v>
      </c>
      <c r="R140" s="75">
        <v>0</v>
      </c>
      <c r="S140" s="75">
        <v>0</v>
      </c>
      <c r="T140" s="75">
        <v>0</v>
      </c>
      <c r="U140" s="238"/>
      <c r="V140" s="238"/>
    </row>
    <row r="141" spans="1:22" s="186" customFormat="1" ht="24" customHeight="1" x14ac:dyDescent="0.25">
      <c r="A141" s="25">
        <v>130</v>
      </c>
      <c r="B141" s="34" t="s">
        <v>223</v>
      </c>
      <c r="C141" s="75">
        <f t="shared" si="6"/>
        <v>15549197.84</v>
      </c>
      <c r="D141" s="75">
        <f t="shared" si="9"/>
        <v>0</v>
      </c>
      <c r="E141" s="87">
        <v>0</v>
      </c>
      <c r="F141" s="75">
        <v>0</v>
      </c>
      <c r="G141" s="75">
        <v>0</v>
      </c>
      <c r="H141" s="87">
        <v>0</v>
      </c>
      <c r="I141" s="75">
        <v>0</v>
      </c>
      <c r="J141" s="152">
        <v>0</v>
      </c>
      <c r="K141" s="75">
        <v>0</v>
      </c>
      <c r="L141" s="87">
        <v>8642848.9800000004</v>
      </c>
      <c r="M141" s="75">
        <v>0</v>
      </c>
      <c r="N141" s="87">
        <v>6906348.8600000003</v>
      </c>
      <c r="O141" s="75">
        <v>0</v>
      </c>
      <c r="P141" s="75">
        <v>0</v>
      </c>
      <c r="Q141" s="75">
        <v>0</v>
      </c>
      <c r="R141" s="75">
        <v>0</v>
      </c>
      <c r="S141" s="75">
        <v>0</v>
      </c>
      <c r="T141" s="75">
        <v>0</v>
      </c>
      <c r="U141" s="239"/>
      <c r="V141" s="239"/>
    </row>
    <row r="142" spans="1:22" s="186" customFormat="1" ht="24" customHeight="1" x14ac:dyDescent="0.25">
      <c r="A142" s="25">
        <v>131</v>
      </c>
      <c r="B142" s="34" t="s">
        <v>1008</v>
      </c>
      <c r="C142" s="75">
        <f t="shared" si="6"/>
        <v>140930.76999999999</v>
      </c>
      <c r="D142" s="75">
        <f t="shared" si="9"/>
        <v>0</v>
      </c>
      <c r="E142" s="87">
        <v>0</v>
      </c>
      <c r="F142" s="87">
        <v>0</v>
      </c>
      <c r="G142" s="87">
        <v>0</v>
      </c>
      <c r="H142" s="87">
        <v>0</v>
      </c>
      <c r="I142" s="87">
        <v>0</v>
      </c>
      <c r="J142" s="152">
        <v>0</v>
      </c>
      <c r="K142" s="75">
        <v>0</v>
      </c>
      <c r="L142" s="75">
        <v>0</v>
      </c>
      <c r="M142" s="75">
        <v>0</v>
      </c>
      <c r="N142" s="75">
        <v>0</v>
      </c>
      <c r="O142" s="75">
        <v>0</v>
      </c>
      <c r="P142" s="87">
        <f>110004+30926.77</f>
        <v>140930.76999999999</v>
      </c>
      <c r="Q142" s="75">
        <v>0</v>
      </c>
      <c r="R142" s="75">
        <v>0</v>
      </c>
      <c r="S142" s="75">
        <v>0</v>
      </c>
      <c r="T142" s="75">
        <v>0</v>
      </c>
      <c r="U142" s="239"/>
      <c r="V142" s="239"/>
    </row>
    <row r="143" spans="1:22" s="186" customFormat="1" ht="24" customHeight="1" x14ac:dyDescent="0.25">
      <c r="A143" s="25">
        <v>132</v>
      </c>
      <c r="B143" s="34" t="s">
        <v>226</v>
      </c>
      <c r="C143" s="75">
        <f t="shared" si="6"/>
        <v>8178061.9699999997</v>
      </c>
      <c r="D143" s="75">
        <f t="shared" si="9"/>
        <v>0</v>
      </c>
      <c r="E143" s="87">
        <v>0</v>
      </c>
      <c r="F143" s="75">
        <v>0</v>
      </c>
      <c r="G143" s="75">
        <v>0</v>
      </c>
      <c r="H143" s="87">
        <v>0</v>
      </c>
      <c r="I143" s="75">
        <v>0</v>
      </c>
      <c r="J143" s="152">
        <v>0</v>
      </c>
      <c r="K143" s="75">
        <v>0</v>
      </c>
      <c r="L143" s="75">
        <v>0</v>
      </c>
      <c r="M143" s="75">
        <v>0</v>
      </c>
      <c r="N143" s="87">
        <v>8178061.9699999997</v>
      </c>
      <c r="O143" s="75">
        <v>0</v>
      </c>
      <c r="P143" s="75">
        <v>0</v>
      </c>
      <c r="Q143" s="75">
        <v>0</v>
      </c>
      <c r="R143" s="75">
        <v>0</v>
      </c>
      <c r="S143" s="75">
        <v>0</v>
      </c>
      <c r="T143" s="75">
        <v>0</v>
      </c>
      <c r="U143" s="239"/>
      <c r="V143" s="239"/>
    </row>
    <row r="144" spans="1:22" s="186" customFormat="1" ht="24" customHeight="1" x14ac:dyDescent="0.25">
      <c r="A144" s="25">
        <v>133</v>
      </c>
      <c r="B144" s="34" t="s">
        <v>229</v>
      </c>
      <c r="C144" s="75">
        <f t="shared" si="6"/>
        <v>5887256.4100000001</v>
      </c>
      <c r="D144" s="75">
        <f t="shared" si="9"/>
        <v>0</v>
      </c>
      <c r="E144" s="87">
        <v>0</v>
      </c>
      <c r="F144" s="75">
        <v>0</v>
      </c>
      <c r="G144" s="75">
        <v>0</v>
      </c>
      <c r="H144" s="87">
        <v>0</v>
      </c>
      <c r="I144" s="75">
        <v>0</v>
      </c>
      <c r="J144" s="152">
        <v>0</v>
      </c>
      <c r="K144" s="75">
        <v>0</v>
      </c>
      <c r="L144" s="87">
        <v>0</v>
      </c>
      <c r="M144" s="75">
        <v>0</v>
      </c>
      <c r="N144" s="87">
        <v>5887256.4100000001</v>
      </c>
      <c r="O144" s="75">
        <v>0</v>
      </c>
      <c r="P144" s="75">
        <v>0</v>
      </c>
      <c r="Q144" s="75">
        <v>0</v>
      </c>
      <c r="R144" s="75">
        <v>0</v>
      </c>
      <c r="S144" s="75">
        <v>0</v>
      </c>
      <c r="T144" s="75">
        <v>0</v>
      </c>
      <c r="U144" s="239"/>
      <c r="V144" s="239"/>
    </row>
    <row r="145" spans="1:35" s="186" customFormat="1" ht="24" customHeight="1" x14ac:dyDescent="0.25">
      <c r="A145" s="25">
        <v>134</v>
      </c>
      <c r="B145" s="41" t="s">
        <v>231</v>
      </c>
      <c r="C145" s="75">
        <f t="shared" si="6"/>
        <v>969284.57000000007</v>
      </c>
      <c r="D145" s="75">
        <f t="shared" si="9"/>
        <v>969284.57000000007</v>
      </c>
      <c r="E145" s="241">
        <v>0</v>
      </c>
      <c r="F145" s="241">
        <v>796272.18</v>
      </c>
      <c r="G145" s="241">
        <v>0</v>
      </c>
      <c r="H145" s="241">
        <v>0</v>
      </c>
      <c r="I145" s="87">
        <v>173012.39</v>
      </c>
      <c r="J145" s="242">
        <v>0</v>
      </c>
      <c r="K145" s="241">
        <v>0</v>
      </c>
      <c r="L145" s="241">
        <v>0</v>
      </c>
      <c r="M145" s="241">
        <v>0</v>
      </c>
      <c r="N145" s="241">
        <v>0</v>
      </c>
      <c r="O145" s="241">
        <v>0</v>
      </c>
      <c r="P145" s="241">
        <v>0</v>
      </c>
      <c r="Q145" s="241">
        <v>0</v>
      </c>
      <c r="R145" s="241">
        <v>0</v>
      </c>
      <c r="S145" s="241">
        <v>0</v>
      </c>
      <c r="T145" s="241">
        <v>0</v>
      </c>
      <c r="U145" s="243"/>
      <c r="V145" s="243"/>
    </row>
    <row r="146" spans="1:35" s="186" customFormat="1" ht="24" customHeight="1" x14ac:dyDescent="0.25">
      <c r="A146" s="25">
        <v>135</v>
      </c>
      <c r="B146" s="41" t="s">
        <v>232</v>
      </c>
      <c r="C146" s="75">
        <f t="shared" si="6"/>
        <v>3325198.65</v>
      </c>
      <c r="D146" s="75">
        <f t="shared" si="9"/>
        <v>0</v>
      </c>
      <c r="E146" s="241">
        <v>0</v>
      </c>
      <c r="F146" s="241">
        <v>0</v>
      </c>
      <c r="G146" s="241">
        <v>0</v>
      </c>
      <c r="H146" s="241">
        <v>0</v>
      </c>
      <c r="I146" s="87">
        <v>0</v>
      </c>
      <c r="J146" s="242">
        <v>1</v>
      </c>
      <c r="K146" s="241">
        <v>3325198.65</v>
      </c>
      <c r="L146" s="241">
        <v>0</v>
      </c>
      <c r="M146" s="241">
        <v>0</v>
      </c>
      <c r="N146" s="241">
        <v>0</v>
      </c>
      <c r="O146" s="241">
        <v>0</v>
      </c>
      <c r="P146" s="241">
        <v>0</v>
      </c>
      <c r="Q146" s="241">
        <v>0</v>
      </c>
      <c r="R146" s="241">
        <v>0</v>
      </c>
      <c r="S146" s="241">
        <v>0</v>
      </c>
      <c r="T146" s="241">
        <v>0</v>
      </c>
      <c r="U146" s="243"/>
      <c r="V146" s="243"/>
    </row>
    <row r="147" spans="1:35" s="186" customFormat="1" ht="24" customHeight="1" x14ac:dyDescent="0.25">
      <c r="A147" s="25">
        <v>136</v>
      </c>
      <c r="B147" s="34" t="s">
        <v>1009</v>
      </c>
      <c r="C147" s="75">
        <f t="shared" si="6"/>
        <v>261674.3</v>
      </c>
      <c r="D147" s="75">
        <f t="shared" si="9"/>
        <v>0</v>
      </c>
      <c r="E147" s="87">
        <v>0</v>
      </c>
      <c r="F147" s="75">
        <v>0</v>
      </c>
      <c r="G147" s="75">
        <v>0</v>
      </c>
      <c r="H147" s="87">
        <v>0</v>
      </c>
      <c r="I147" s="87">
        <v>0</v>
      </c>
      <c r="J147" s="152">
        <v>0</v>
      </c>
      <c r="K147" s="75">
        <v>0</v>
      </c>
      <c r="L147" s="75">
        <v>0</v>
      </c>
      <c r="M147" s="75">
        <v>0</v>
      </c>
      <c r="N147" s="75">
        <v>0</v>
      </c>
      <c r="O147" s="75">
        <v>0</v>
      </c>
      <c r="P147" s="75">
        <v>261674.3</v>
      </c>
      <c r="Q147" s="75">
        <v>0</v>
      </c>
      <c r="R147" s="75">
        <v>0</v>
      </c>
      <c r="S147" s="87">
        <v>0</v>
      </c>
      <c r="T147" s="75">
        <v>0</v>
      </c>
      <c r="U147" s="238"/>
      <c r="V147" s="238"/>
    </row>
    <row r="148" spans="1:35" s="186" customFormat="1" ht="24" customHeight="1" x14ac:dyDescent="0.25">
      <c r="A148" s="25">
        <v>137</v>
      </c>
      <c r="B148" s="34" t="s">
        <v>234</v>
      </c>
      <c r="C148" s="75">
        <f t="shared" si="6"/>
        <v>30017079.82</v>
      </c>
      <c r="D148" s="75">
        <f t="shared" si="9"/>
        <v>0</v>
      </c>
      <c r="E148" s="87">
        <v>0</v>
      </c>
      <c r="F148" s="75">
        <v>0</v>
      </c>
      <c r="G148" s="75">
        <v>0</v>
      </c>
      <c r="H148" s="87">
        <v>0</v>
      </c>
      <c r="I148" s="87">
        <v>0</v>
      </c>
      <c r="J148" s="152">
        <v>0</v>
      </c>
      <c r="K148" s="75">
        <v>0</v>
      </c>
      <c r="L148" s="75">
        <v>0</v>
      </c>
      <c r="M148" s="75">
        <v>0</v>
      </c>
      <c r="N148" s="75">
        <v>0</v>
      </c>
      <c r="O148" s="75">
        <v>0</v>
      </c>
      <c r="P148" s="75">
        <v>0</v>
      </c>
      <c r="Q148" s="75">
        <v>0</v>
      </c>
      <c r="R148" s="75">
        <v>0</v>
      </c>
      <c r="S148" s="87">
        <v>30017079.82</v>
      </c>
      <c r="T148" s="75">
        <v>0</v>
      </c>
      <c r="U148" s="239"/>
      <c r="V148" s="239"/>
    </row>
    <row r="149" spans="1:35" s="186" customFormat="1" ht="24" customHeight="1" x14ac:dyDescent="0.25">
      <c r="A149" s="25">
        <v>138</v>
      </c>
      <c r="B149" s="34" t="s">
        <v>1010</v>
      </c>
      <c r="C149" s="75">
        <f t="shared" si="6"/>
        <v>350610.92</v>
      </c>
      <c r="D149" s="75">
        <f t="shared" si="9"/>
        <v>0</v>
      </c>
      <c r="E149" s="87">
        <v>0</v>
      </c>
      <c r="F149" s="75">
        <v>0</v>
      </c>
      <c r="G149" s="75">
        <v>0</v>
      </c>
      <c r="H149" s="87">
        <v>0</v>
      </c>
      <c r="I149" s="87">
        <v>0</v>
      </c>
      <c r="J149" s="152">
        <v>0</v>
      </c>
      <c r="K149" s="75">
        <v>0</v>
      </c>
      <c r="L149" s="87">
        <v>0</v>
      </c>
      <c r="M149" s="75">
        <v>0</v>
      </c>
      <c r="N149" s="75">
        <v>0</v>
      </c>
      <c r="O149" s="75">
        <v>0</v>
      </c>
      <c r="P149" s="87">
        <v>350610.92</v>
      </c>
      <c r="Q149" s="75">
        <v>0</v>
      </c>
      <c r="R149" s="75">
        <v>0</v>
      </c>
      <c r="S149" s="75">
        <v>0</v>
      </c>
      <c r="T149" s="75">
        <v>0</v>
      </c>
      <c r="U149" s="239"/>
      <c r="V149" s="239"/>
    </row>
    <row r="150" spans="1:35" s="186" customFormat="1" ht="24" customHeight="1" x14ac:dyDescent="0.25">
      <c r="A150" s="25">
        <v>139</v>
      </c>
      <c r="B150" s="34" t="s">
        <v>236</v>
      </c>
      <c r="C150" s="75">
        <f t="shared" si="6"/>
        <v>421821.95999999996</v>
      </c>
      <c r="D150" s="75">
        <f t="shared" si="9"/>
        <v>421821.95999999996</v>
      </c>
      <c r="E150" s="87">
        <v>0</v>
      </c>
      <c r="F150" s="75">
        <v>0</v>
      </c>
      <c r="G150" s="75">
        <v>0</v>
      </c>
      <c r="H150" s="87">
        <v>137228.85</v>
      </c>
      <c r="I150" s="87">
        <v>284593.11</v>
      </c>
      <c r="J150" s="152">
        <v>0</v>
      </c>
      <c r="K150" s="75">
        <v>0</v>
      </c>
      <c r="L150" s="75">
        <v>0</v>
      </c>
      <c r="M150" s="75">
        <v>0</v>
      </c>
      <c r="N150" s="75">
        <v>0</v>
      </c>
      <c r="O150" s="75">
        <v>0</v>
      </c>
      <c r="P150" s="87">
        <v>0</v>
      </c>
      <c r="Q150" s="75">
        <v>0</v>
      </c>
      <c r="R150" s="75">
        <v>0</v>
      </c>
      <c r="S150" s="75">
        <v>0</v>
      </c>
      <c r="T150" s="75">
        <v>0</v>
      </c>
      <c r="U150" s="238"/>
      <c r="V150" s="238"/>
    </row>
    <row r="151" spans="1:35" s="186" customFormat="1" ht="24" customHeight="1" x14ac:dyDescent="0.25">
      <c r="A151" s="25">
        <v>140</v>
      </c>
      <c r="B151" s="34" t="s">
        <v>1011</v>
      </c>
      <c r="C151" s="75">
        <f t="shared" si="6"/>
        <v>1177186.9200000002</v>
      </c>
      <c r="D151" s="75">
        <f t="shared" si="9"/>
        <v>980419.20000000007</v>
      </c>
      <c r="E151" s="87">
        <v>0</v>
      </c>
      <c r="F151" s="87">
        <v>0</v>
      </c>
      <c r="G151" s="87">
        <v>0</v>
      </c>
      <c r="H151" s="87">
        <v>424148.4</v>
      </c>
      <c r="I151" s="87">
        <v>556270.80000000005</v>
      </c>
      <c r="J151" s="152">
        <v>0</v>
      </c>
      <c r="K151" s="75">
        <v>0</v>
      </c>
      <c r="L151" s="75">
        <v>0</v>
      </c>
      <c r="M151" s="75">
        <v>0</v>
      </c>
      <c r="N151" s="75">
        <v>0</v>
      </c>
      <c r="O151" s="75">
        <v>0</v>
      </c>
      <c r="P151" s="87">
        <v>196767.72</v>
      </c>
      <c r="Q151" s="75">
        <v>0</v>
      </c>
      <c r="R151" s="75">
        <v>0</v>
      </c>
      <c r="S151" s="75">
        <v>0</v>
      </c>
      <c r="T151" s="75">
        <v>0</v>
      </c>
      <c r="U151" s="239"/>
      <c r="V151" s="239"/>
    </row>
    <row r="152" spans="1:35" s="186" customFormat="1" ht="24" customHeight="1" x14ac:dyDescent="0.25">
      <c r="A152" s="25">
        <v>141</v>
      </c>
      <c r="B152" s="34" t="s">
        <v>1012</v>
      </c>
      <c r="C152" s="75">
        <f t="shared" si="6"/>
        <v>137006.10999999999</v>
      </c>
      <c r="D152" s="75">
        <f t="shared" si="9"/>
        <v>0</v>
      </c>
      <c r="E152" s="87">
        <v>0</v>
      </c>
      <c r="F152" s="87">
        <v>0</v>
      </c>
      <c r="G152" s="87">
        <v>0</v>
      </c>
      <c r="H152" s="87">
        <v>0</v>
      </c>
      <c r="I152" s="87">
        <v>0</v>
      </c>
      <c r="J152" s="152">
        <v>0</v>
      </c>
      <c r="K152" s="75">
        <v>0</v>
      </c>
      <c r="L152" s="87">
        <v>0</v>
      </c>
      <c r="M152" s="75">
        <v>0</v>
      </c>
      <c r="N152" s="75">
        <v>0</v>
      </c>
      <c r="O152" s="75">
        <v>0</v>
      </c>
      <c r="P152" s="87">
        <v>137006.10999999999</v>
      </c>
      <c r="Q152" s="75">
        <v>0</v>
      </c>
      <c r="R152" s="75">
        <v>0</v>
      </c>
      <c r="S152" s="75">
        <v>0</v>
      </c>
      <c r="T152" s="75">
        <v>0</v>
      </c>
      <c r="U152" s="239"/>
      <c r="V152" s="239"/>
    </row>
    <row r="153" spans="1:35" s="186" customFormat="1" ht="24" customHeight="1" x14ac:dyDescent="0.25">
      <c r="A153" s="25">
        <v>142</v>
      </c>
      <c r="B153" s="34" t="s">
        <v>1013</v>
      </c>
      <c r="C153" s="75">
        <f t="shared" si="6"/>
        <v>2428516.86</v>
      </c>
      <c r="D153" s="75">
        <f t="shared" si="9"/>
        <v>2192886.54</v>
      </c>
      <c r="E153" s="87">
        <v>0</v>
      </c>
      <c r="F153" s="87">
        <v>2192886.54</v>
      </c>
      <c r="G153" s="75">
        <v>0</v>
      </c>
      <c r="H153" s="87">
        <v>0</v>
      </c>
      <c r="I153" s="75">
        <v>0</v>
      </c>
      <c r="J153" s="152">
        <v>0</v>
      </c>
      <c r="K153" s="75">
        <v>0</v>
      </c>
      <c r="L153" s="75">
        <v>0</v>
      </c>
      <c r="M153" s="75">
        <v>0</v>
      </c>
      <c r="N153" s="75">
        <v>0</v>
      </c>
      <c r="O153" s="75">
        <v>0</v>
      </c>
      <c r="P153" s="87">
        <v>235630.32</v>
      </c>
      <c r="Q153" s="75">
        <v>0</v>
      </c>
      <c r="R153" s="75">
        <v>0</v>
      </c>
      <c r="S153" s="75">
        <v>0</v>
      </c>
      <c r="T153" s="75">
        <v>0</v>
      </c>
      <c r="U153" s="238"/>
      <c r="V153" s="238"/>
    </row>
    <row r="154" spans="1:35" s="186" customFormat="1" ht="24" customHeight="1" x14ac:dyDescent="0.25">
      <c r="A154" s="25">
        <v>143</v>
      </c>
      <c r="B154" s="34" t="s">
        <v>1014</v>
      </c>
      <c r="C154" s="75">
        <f t="shared" si="6"/>
        <v>128679.39</v>
      </c>
      <c r="D154" s="75">
        <f t="shared" si="9"/>
        <v>0</v>
      </c>
      <c r="E154" s="87">
        <v>0</v>
      </c>
      <c r="F154" s="75">
        <v>0</v>
      </c>
      <c r="G154" s="75">
        <v>0</v>
      </c>
      <c r="H154" s="87">
        <v>0</v>
      </c>
      <c r="I154" s="75">
        <v>0</v>
      </c>
      <c r="J154" s="152">
        <v>0</v>
      </c>
      <c r="K154" s="75">
        <v>0</v>
      </c>
      <c r="L154" s="87">
        <v>0</v>
      </c>
      <c r="M154" s="75">
        <v>0</v>
      </c>
      <c r="N154" s="75">
        <v>0</v>
      </c>
      <c r="O154" s="75">
        <v>0</v>
      </c>
      <c r="P154" s="87">
        <v>128679.39</v>
      </c>
      <c r="Q154" s="75">
        <v>0</v>
      </c>
      <c r="R154" s="75">
        <v>0</v>
      </c>
      <c r="S154" s="75">
        <v>0</v>
      </c>
      <c r="T154" s="75">
        <v>0</v>
      </c>
      <c r="U154" s="239"/>
      <c r="V154" s="239"/>
    </row>
    <row r="155" spans="1:35" s="186" customFormat="1" ht="24" customHeight="1" x14ac:dyDescent="0.25">
      <c r="A155" s="25">
        <v>144</v>
      </c>
      <c r="B155" s="34" t="s">
        <v>241</v>
      </c>
      <c r="C155" s="75">
        <f t="shared" si="6"/>
        <v>2060329.83</v>
      </c>
      <c r="D155" s="75">
        <f t="shared" si="9"/>
        <v>0</v>
      </c>
      <c r="E155" s="87">
        <v>0</v>
      </c>
      <c r="F155" s="75">
        <v>0</v>
      </c>
      <c r="G155" s="75">
        <v>0</v>
      </c>
      <c r="H155" s="87">
        <v>0</v>
      </c>
      <c r="I155" s="75">
        <v>0</v>
      </c>
      <c r="J155" s="152">
        <v>0</v>
      </c>
      <c r="K155" s="75">
        <v>0</v>
      </c>
      <c r="L155" s="87">
        <v>0</v>
      </c>
      <c r="M155" s="75">
        <v>0</v>
      </c>
      <c r="N155" s="87">
        <v>2060329.83</v>
      </c>
      <c r="O155" s="75">
        <v>0</v>
      </c>
      <c r="P155" s="75">
        <v>0</v>
      </c>
      <c r="Q155" s="75">
        <v>0</v>
      </c>
      <c r="R155" s="75">
        <v>0</v>
      </c>
      <c r="S155" s="75">
        <v>0</v>
      </c>
      <c r="T155" s="75">
        <v>0</v>
      </c>
      <c r="U155" s="239"/>
      <c r="V155" s="239"/>
    </row>
    <row r="156" spans="1:35" s="186" customFormat="1" ht="24" customHeight="1" x14ac:dyDescent="0.25">
      <c r="A156" s="25">
        <v>145</v>
      </c>
      <c r="B156" s="34" t="s">
        <v>1015</v>
      </c>
      <c r="C156" s="75">
        <f t="shared" si="6"/>
        <v>207514.73</v>
      </c>
      <c r="D156" s="75">
        <f t="shared" si="9"/>
        <v>0</v>
      </c>
      <c r="E156" s="87">
        <v>0</v>
      </c>
      <c r="F156" s="75">
        <v>0</v>
      </c>
      <c r="G156" s="75">
        <v>0</v>
      </c>
      <c r="H156" s="87">
        <v>0</v>
      </c>
      <c r="I156" s="75">
        <v>0</v>
      </c>
      <c r="J156" s="152">
        <v>0</v>
      </c>
      <c r="K156" s="75">
        <v>0</v>
      </c>
      <c r="L156" s="87">
        <v>0</v>
      </c>
      <c r="M156" s="75">
        <v>0</v>
      </c>
      <c r="N156" s="75">
        <v>0</v>
      </c>
      <c r="O156" s="75">
        <v>0</v>
      </c>
      <c r="P156" s="87">
        <v>207514.73</v>
      </c>
      <c r="Q156" s="75">
        <v>0</v>
      </c>
      <c r="R156" s="75">
        <v>0</v>
      </c>
      <c r="S156" s="75">
        <v>0</v>
      </c>
      <c r="T156" s="75">
        <v>0</v>
      </c>
      <c r="U156" s="239"/>
      <c r="V156" s="239"/>
    </row>
    <row r="157" spans="1:35" s="186" customFormat="1" ht="24" customHeight="1" x14ac:dyDescent="0.25">
      <c r="A157" s="25">
        <v>146</v>
      </c>
      <c r="B157" s="34" t="s">
        <v>1016</v>
      </c>
      <c r="C157" s="75">
        <f t="shared" si="6"/>
        <v>156972</v>
      </c>
      <c r="D157" s="75">
        <f t="shared" si="9"/>
        <v>0</v>
      </c>
      <c r="E157" s="87">
        <v>0</v>
      </c>
      <c r="F157" s="87">
        <v>0</v>
      </c>
      <c r="G157" s="75">
        <v>0</v>
      </c>
      <c r="H157" s="87">
        <v>0</v>
      </c>
      <c r="I157" s="87">
        <v>0</v>
      </c>
      <c r="J157" s="152">
        <v>0</v>
      </c>
      <c r="K157" s="75">
        <v>0</v>
      </c>
      <c r="L157" s="75">
        <v>0</v>
      </c>
      <c r="M157" s="75">
        <v>0</v>
      </c>
      <c r="N157" s="75">
        <v>0</v>
      </c>
      <c r="O157" s="75">
        <v>0</v>
      </c>
      <c r="P157" s="75">
        <v>156972</v>
      </c>
      <c r="Q157" s="75">
        <v>0</v>
      </c>
      <c r="R157" s="75">
        <v>0</v>
      </c>
      <c r="S157" s="75">
        <v>0</v>
      </c>
      <c r="T157" s="75">
        <v>0</v>
      </c>
      <c r="U157" s="238"/>
      <c r="V157" s="238"/>
    </row>
    <row r="158" spans="1:35" s="23" customFormat="1" ht="21" customHeight="1" x14ac:dyDescent="0.25">
      <c r="A158" s="25">
        <v>147</v>
      </c>
      <c r="B158" s="34" t="s">
        <v>1017</v>
      </c>
      <c r="C158" s="75">
        <f t="shared" si="6"/>
        <v>326452.75</v>
      </c>
      <c r="D158" s="75">
        <f t="shared" si="9"/>
        <v>0</v>
      </c>
      <c r="E158" s="87">
        <v>0</v>
      </c>
      <c r="F158" s="87">
        <v>0</v>
      </c>
      <c r="G158" s="75">
        <v>0</v>
      </c>
      <c r="H158" s="87">
        <v>0</v>
      </c>
      <c r="I158" s="75">
        <v>0</v>
      </c>
      <c r="J158" s="152">
        <v>0</v>
      </c>
      <c r="K158" s="75">
        <v>0</v>
      </c>
      <c r="L158" s="87">
        <v>0</v>
      </c>
      <c r="M158" s="75">
        <v>0</v>
      </c>
      <c r="N158" s="75">
        <v>0</v>
      </c>
      <c r="O158" s="75">
        <v>0</v>
      </c>
      <c r="P158" s="87">
        <v>326452.75</v>
      </c>
      <c r="Q158" s="75">
        <v>0</v>
      </c>
      <c r="R158" s="75">
        <v>0</v>
      </c>
      <c r="S158" s="75">
        <v>0</v>
      </c>
      <c r="T158" s="75">
        <v>0</v>
      </c>
      <c r="U158" s="238"/>
      <c r="V158" s="238"/>
    </row>
    <row r="159" spans="1:35" s="23" customFormat="1" ht="22.5" customHeight="1" x14ac:dyDescent="0.25">
      <c r="A159" s="25">
        <v>148</v>
      </c>
      <c r="B159" s="38" t="s">
        <v>247</v>
      </c>
      <c r="C159" s="75">
        <f t="shared" si="6"/>
        <v>427178.23999999999</v>
      </c>
      <c r="D159" s="75">
        <f t="shared" si="9"/>
        <v>427178.23999999999</v>
      </c>
      <c r="E159" s="87">
        <v>0</v>
      </c>
      <c r="F159" s="75">
        <v>0</v>
      </c>
      <c r="G159" s="87">
        <v>427178.23999999999</v>
      </c>
      <c r="H159" s="87">
        <v>0</v>
      </c>
      <c r="I159" s="75">
        <v>0</v>
      </c>
      <c r="J159" s="152">
        <v>0</v>
      </c>
      <c r="K159" s="75">
        <v>0</v>
      </c>
      <c r="L159" s="75">
        <v>0</v>
      </c>
      <c r="M159" s="75">
        <v>0</v>
      </c>
      <c r="N159" s="75">
        <v>0</v>
      </c>
      <c r="O159" s="75">
        <v>0</v>
      </c>
      <c r="P159" s="87">
        <v>0</v>
      </c>
      <c r="Q159" s="75">
        <v>0</v>
      </c>
      <c r="R159" s="75">
        <v>0</v>
      </c>
      <c r="S159" s="75">
        <v>0</v>
      </c>
      <c r="T159" s="75">
        <v>0</v>
      </c>
      <c r="U159" s="238"/>
      <c r="V159" s="238"/>
    </row>
    <row r="160" spans="1:35" s="23" customFormat="1" ht="22.5" customHeight="1" x14ac:dyDescent="0.25">
      <c r="A160" s="25">
        <v>149</v>
      </c>
      <c r="B160" s="34" t="s">
        <v>1018</v>
      </c>
      <c r="C160" s="75">
        <f t="shared" si="6"/>
        <v>275116.64</v>
      </c>
      <c r="D160" s="75">
        <f t="shared" si="9"/>
        <v>0</v>
      </c>
      <c r="E160" s="87">
        <v>0</v>
      </c>
      <c r="F160" s="75">
        <v>0</v>
      </c>
      <c r="G160" s="75">
        <v>0</v>
      </c>
      <c r="H160" s="87">
        <v>0</v>
      </c>
      <c r="I160" s="75">
        <v>0</v>
      </c>
      <c r="J160" s="152">
        <v>0</v>
      </c>
      <c r="K160" s="75">
        <v>0</v>
      </c>
      <c r="L160" s="87">
        <v>0</v>
      </c>
      <c r="M160" s="75">
        <v>0</v>
      </c>
      <c r="N160" s="75">
        <v>0</v>
      </c>
      <c r="O160" s="75">
        <v>0</v>
      </c>
      <c r="P160" s="87">
        <v>275116.64</v>
      </c>
      <c r="Q160" s="75">
        <v>0</v>
      </c>
      <c r="R160" s="75">
        <v>0</v>
      </c>
      <c r="S160" s="75">
        <v>0</v>
      </c>
      <c r="T160" s="75">
        <v>0</v>
      </c>
      <c r="U160" s="238"/>
      <c r="V160" s="238"/>
      <c r="W160" s="44"/>
      <c r="X160" s="44"/>
      <c r="Y160" s="44"/>
      <c r="Z160" s="44"/>
      <c r="AA160" s="44"/>
      <c r="AB160" s="44"/>
      <c r="AC160" s="44"/>
      <c r="AD160" s="44"/>
      <c r="AE160" s="44"/>
      <c r="AF160" s="44"/>
      <c r="AG160" s="44"/>
      <c r="AH160" s="44"/>
      <c r="AI160" s="44"/>
    </row>
    <row r="161" spans="1:39" s="23" customFormat="1" ht="22.5" customHeight="1" x14ac:dyDescent="0.25">
      <c r="A161" s="25">
        <v>150</v>
      </c>
      <c r="B161" s="34" t="s">
        <v>1019</v>
      </c>
      <c r="C161" s="75">
        <f t="shared" si="6"/>
        <v>289965.01</v>
      </c>
      <c r="D161" s="75">
        <f t="shared" si="9"/>
        <v>0</v>
      </c>
      <c r="E161" s="87">
        <v>0</v>
      </c>
      <c r="F161" s="75">
        <v>0</v>
      </c>
      <c r="G161" s="75">
        <v>0</v>
      </c>
      <c r="H161" s="87">
        <v>0</v>
      </c>
      <c r="I161" s="75">
        <v>0</v>
      </c>
      <c r="J161" s="152">
        <v>0</v>
      </c>
      <c r="K161" s="75">
        <v>0</v>
      </c>
      <c r="L161" s="75">
        <v>0</v>
      </c>
      <c r="M161" s="75">
        <v>0</v>
      </c>
      <c r="N161" s="87">
        <v>0</v>
      </c>
      <c r="O161" s="75">
        <v>0</v>
      </c>
      <c r="P161" s="87">
        <v>289965.01</v>
      </c>
      <c r="Q161" s="75">
        <v>0</v>
      </c>
      <c r="R161" s="75">
        <v>0</v>
      </c>
      <c r="S161" s="75">
        <v>0</v>
      </c>
      <c r="T161" s="75">
        <v>0</v>
      </c>
      <c r="U161" s="238"/>
      <c r="V161" s="238"/>
      <c r="W161" s="44"/>
      <c r="X161" s="44"/>
      <c r="Y161" s="44"/>
      <c r="Z161" s="44"/>
      <c r="AA161" s="44"/>
      <c r="AB161" s="44"/>
      <c r="AC161" s="44"/>
      <c r="AD161" s="44"/>
      <c r="AE161" s="44"/>
      <c r="AF161" s="44"/>
      <c r="AG161" s="44"/>
      <c r="AH161" s="44"/>
      <c r="AI161" s="44"/>
    </row>
    <row r="162" spans="1:39" s="23" customFormat="1" ht="22.5" customHeight="1" x14ac:dyDescent="0.25">
      <c r="A162" s="25">
        <v>151</v>
      </c>
      <c r="B162" s="34" t="s">
        <v>250</v>
      </c>
      <c r="C162" s="75">
        <f t="shared" si="6"/>
        <v>3058413.28</v>
      </c>
      <c r="D162" s="75">
        <f t="shared" si="9"/>
        <v>0</v>
      </c>
      <c r="E162" s="87">
        <v>0</v>
      </c>
      <c r="F162" s="87">
        <v>0</v>
      </c>
      <c r="G162" s="87">
        <v>0</v>
      </c>
      <c r="H162" s="87">
        <v>0</v>
      </c>
      <c r="I162" s="87">
        <v>0</v>
      </c>
      <c r="J162" s="152">
        <v>0</v>
      </c>
      <c r="K162" s="75">
        <v>0</v>
      </c>
      <c r="L162" s="75">
        <v>0</v>
      </c>
      <c r="M162" s="75">
        <v>0</v>
      </c>
      <c r="N162" s="87">
        <v>3058413.28</v>
      </c>
      <c r="O162" s="75">
        <v>0</v>
      </c>
      <c r="P162" s="87">
        <v>0</v>
      </c>
      <c r="Q162" s="75">
        <v>0</v>
      </c>
      <c r="R162" s="75">
        <v>0</v>
      </c>
      <c r="S162" s="75">
        <v>0</v>
      </c>
      <c r="T162" s="75">
        <v>0</v>
      </c>
      <c r="U162" s="238"/>
      <c r="V162" s="238"/>
      <c r="W162" s="238"/>
      <c r="X162" s="238"/>
    </row>
    <row r="163" spans="1:39" s="23" customFormat="1" ht="22.5" customHeight="1" x14ac:dyDescent="0.25">
      <c r="A163" s="25">
        <v>152</v>
      </c>
      <c r="B163" s="34" t="s">
        <v>251</v>
      </c>
      <c r="C163" s="75">
        <f t="shared" si="6"/>
        <v>4386728.75</v>
      </c>
      <c r="D163" s="75">
        <f t="shared" si="9"/>
        <v>0</v>
      </c>
      <c r="E163" s="87">
        <v>0</v>
      </c>
      <c r="F163" s="75">
        <v>0</v>
      </c>
      <c r="G163" s="75">
        <v>0</v>
      </c>
      <c r="H163" s="87">
        <v>0</v>
      </c>
      <c r="I163" s="75">
        <v>0</v>
      </c>
      <c r="J163" s="152">
        <v>0</v>
      </c>
      <c r="K163" s="75">
        <v>0</v>
      </c>
      <c r="L163" s="75">
        <v>0</v>
      </c>
      <c r="M163" s="75">
        <v>0</v>
      </c>
      <c r="N163" s="87">
        <v>4386728.75</v>
      </c>
      <c r="O163" s="75">
        <v>0</v>
      </c>
      <c r="P163" s="75">
        <v>0</v>
      </c>
      <c r="Q163" s="75">
        <v>0</v>
      </c>
      <c r="R163" s="75">
        <v>0</v>
      </c>
      <c r="S163" s="75">
        <v>0</v>
      </c>
      <c r="T163" s="75">
        <v>0</v>
      </c>
      <c r="U163" s="239"/>
      <c r="V163" s="239"/>
    </row>
    <row r="164" spans="1:39" s="44" customFormat="1" ht="22.5" customHeight="1" x14ac:dyDescent="0.25">
      <c r="A164" s="25">
        <v>153</v>
      </c>
      <c r="B164" s="34" t="s">
        <v>252</v>
      </c>
      <c r="C164" s="75">
        <f t="shared" si="6"/>
        <v>9531206.9800000004</v>
      </c>
      <c r="D164" s="75">
        <f t="shared" si="9"/>
        <v>0</v>
      </c>
      <c r="E164" s="87">
        <v>0</v>
      </c>
      <c r="F164" s="75">
        <v>0</v>
      </c>
      <c r="G164" s="75">
        <v>0</v>
      </c>
      <c r="H164" s="87">
        <v>0</v>
      </c>
      <c r="I164" s="75">
        <v>0</v>
      </c>
      <c r="J164" s="152">
        <v>0</v>
      </c>
      <c r="K164" s="75">
        <v>0</v>
      </c>
      <c r="L164" s="87">
        <v>0</v>
      </c>
      <c r="M164" s="75">
        <v>0</v>
      </c>
      <c r="N164" s="87">
        <v>9531206.9800000004</v>
      </c>
      <c r="O164" s="75">
        <v>0</v>
      </c>
      <c r="P164" s="75">
        <v>0</v>
      </c>
      <c r="Q164" s="75">
        <v>0</v>
      </c>
      <c r="R164" s="75">
        <v>0</v>
      </c>
      <c r="S164" s="75">
        <v>0</v>
      </c>
      <c r="T164" s="75">
        <v>0</v>
      </c>
      <c r="U164" s="239"/>
      <c r="V164" s="239"/>
    </row>
    <row r="165" spans="1:39" s="186" customFormat="1" ht="24" customHeight="1" x14ac:dyDescent="0.25">
      <c r="A165" s="25">
        <v>154</v>
      </c>
      <c r="B165" s="34" t="s">
        <v>253</v>
      </c>
      <c r="C165" s="75">
        <f t="shared" si="6"/>
        <v>8320024.5300000003</v>
      </c>
      <c r="D165" s="75">
        <f t="shared" si="9"/>
        <v>0</v>
      </c>
      <c r="E165" s="87">
        <v>0</v>
      </c>
      <c r="F165" s="75">
        <v>0</v>
      </c>
      <c r="G165" s="75">
        <v>0</v>
      </c>
      <c r="H165" s="87">
        <v>0</v>
      </c>
      <c r="I165" s="75">
        <v>0</v>
      </c>
      <c r="J165" s="152">
        <v>0</v>
      </c>
      <c r="K165" s="75">
        <v>0</v>
      </c>
      <c r="L165" s="87">
        <v>8320024.5300000003</v>
      </c>
      <c r="M165" s="75">
        <v>0</v>
      </c>
      <c r="N165" s="87">
        <v>0</v>
      </c>
      <c r="O165" s="75">
        <v>0</v>
      </c>
      <c r="P165" s="75">
        <v>0</v>
      </c>
      <c r="Q165" s="75">
        <v>0</v>
      </c>
      <c r="R165" s="75">
        <v>0</v>
      </c>
      <c r="S165" s="75">
        <v>0</v>
      </c>
      <c r="T165" s="75">
        <v>0</v>
      </c>
      <c r="U165" s="239"/>
      <c r="V165" s="239"/>
    </row>
    <row r="166" spans="1:39" s="186" customFormat="1" ht="24" customHeight="1" x14ac:dyDescent="0.25">
      <c r="A166" s="25">
        <v>155</v>
      </c>
      <c r="B166" s="34" t="s">
        <v>254</v>
      </c>
      <c r="C166" s="75">
        <f t="shared" si="6"/>
        <v>508697.59</v>
      </c>
      <c r="D166" s="75">
        <f t="shared" si="9"/>
        <v>508697.59</v>
      </c>
      <c r="E166" s="87">
        <v>0</v>
      </c>
      <c r="F166" s="75">
        <v>0</v>
      </c>
      <c r="G166" s="75">
        <v>0</v>
      </c>
      <c r="H166" s="87">
        <v>508697.59</v>
      </c>
      <c r="I166" s="75">
        <v>0</v>
      </c>
      <c r="J166" s="152">
        <v>0</v>
      </c>
      <c r="K166" s="75">
        <v>0</v>
      </c>
      <c r="L166" s="75">
        <v>0</v>
      </c>
      <c r="M166" s="75">
        <v>0</v>
      </c>
      <c r="N166" s="75">
        <v>0</v>
      </c>
      <c r="O166" s="75">
        <v>0</v>
      </c>
      <c r="P166" s="75">
        <v>0</v>
      </c>
      <c r="Q166" s="75">
        <v>0</v>
      </c>
      <c r="R166" s="75">
        <v>0</v>
      </c>
      <c r="S166" s="75">
        <v>0</v>
      </c>
      <c r="T166" s="75">
        <v>0</v>
      </c>
      <c r="U166" s="238"/>
      <c r="V166" s="238"/>
    </row>
    <row r="167" spans="1:39" s="186" customFormat="1" ht="24" customHeight="1" x14ac:dyDescent="0.25">
      <c r="A167" s="25">
        <v>156</v>
      </c>
      <c r="B167" s="34" t="s">
        <v>1020</v>
      </c>
      <c r="C167" s="75">
        <f t="shared" si="6"/>
        <v>341152.75</v>
      </c>
      <c r="D167" s="75">
        <f t="shared" si="9"/>
        <v>0</v>
      </c>
      <c r="E167" s="87">
        <v>0</v>
      </c>
      <c r="F167" s="75">
        <v>0</v>
      </c>
      <c r="G167" s="75">
        <v>0</v>
      </c>
      <c r="H167" s="87">
        <v>0</v>
      </c>
      <c r="I167" s="87">
        <v>0</v>
      </c>
      <c r="J167" s="152">
        <v>0</v>
      </c>
      <c r="K167" s="75">
        <v>0</v>
      </c>
      <c r="L167" s="87">
        <v>0</v>
      </c>
      <c r="M167" s="75">
        <v>0</v>
      </c>
      <c r="N167" s="87">
        <v>0</v>
      </c>
      <c r="O167" s="75">
        <v>0</v>
      </c>
      <c r="P167" s="87">
        <v>341152.75</v>
      </c>
      <c r="Q167" s="75">
        <v>0</v>
      </c>
      <c r="R167" s="75">
        <v>0</v>
      </c>
      <c r="S167" s="75">
        <v>0</v>
      </c>
      <c r="T167" s="75">
        <v>0</v>
      </c>
      <c r="U167" s="238"/>
      <c r="V167" s="238"/>
    </row>
    <row r="168" spans="1:39" s="186" customFormat="1" ht="24" customHeight="1" x14ac:dyDescent="0.25">
      <c r="A168" s="25">
        <v>157</v>
      </c>
      <c r="B168" s="34" t="s">
        <v>1021</v>
      </c>
      <c r="C168" s="75">
        <f t="shared" si="6"/>
        <v>275867.2</v>
      </c>
      <c r="D168" s="75">
        <f t="shared" si="9"/>
        <v>0</v>
      </c>
      <c r="E168" s="87">
        <v>0</v>
      </c>
      <c r="F168" s="87">
        <v>0</v>
      </c>
      <c r="G168" s="87">
        <v>0</v>
      </c>
      <c r="H168" s="87">
        <v>0</v>
      </c>
      <c r="I168" s="87">
        <v>0</v>
      </c>
      <c r="J168" s="152">
        <v>0</v>
      </c>
      <c r="K168" s="75">
        <v>0</v>
      </c>
      <c r="L168" s="75">
        <v>0</v>
      </c>
      <c r="M168" s="75">
        <v>0</v>
      </c>
      <c r="N168" s="87">
        <v>0</v>
      </c>
      <c r="O168" s="75">
        <v>0</v>
      </c>
      <c r="P168" s="87">
        <v>275867.2</v>
      </c>
      <c r="Q168" s="75">
        <v>0</v>
      </c>
      <c r="R168" s="75">
        <v>0</v>
      </c>
      <c r="S168" s="75">
        <v>0</v>
      </c>
      <c r="T168" s="75">
        <v>0</v>
      </c>
      <c r="U168" s="239"/>
      <c r="V168" s="239"/>
    </row>
    <row r="169" spans="1:39" s="186" customFormat="1" ht="24" customHeight="1" x14ac:dyDescent="0.25">
      <c r="A169" s="25">
        <v>158</v>
      </c>
      <c r="B169" s="34" t="s">
        <v>1022</v>
      </c>
      <c r="C169" s="75">
        <f t="shared" si="6"/>
        <v>16067994.93</v>
      </c>
      <c r="D169" s="75">
        <f t="shared" si="9"/>
        <v>0</v>
      </c>
      <c r="E169" s="87">
        <v>0</v>
      </c>
      <c r="F169" s="75">
        <v>0</v>
      </c>
      <c r="G169" s="75">
        <v>0</v>
      </c>
      <c r="H169" s="87">
        <v>0</v>
      </c>
      <c r="I169" s="87">
        <v>0</v>
      </c>
      <c r="J169" s="152">
        <v>0</v>
      </c>
      <c r="K169" s="75">
        <v>0</v>
      </c>
      <c r="L169" s="87">
        <v>15733375.1</v>
      </c>
      <c r="M169" s="75">
        <v>0</v>
      </c>
      <c r="N169" s="75">
        <v>0</v>
      </c>
      <c r="O169" s="75">
        <v>0</v>
      </c>
      <c r="P169" s="87">
        <v>334619.83</v>
      </c>
      <c r="Q169" s="75">
        <v>0</v>
      </c>
      <c r="R169" s="75">
        <v>0</v>
      </c>
      <c r="S169" s="75">
        <v>0</v>
      </c>
      <c r="T169" s="75">
        <v>0</v>
      </c>
      <c r="U169" s="238"/>
      <c r="V169" s="238"/>
    </row>
    <row r="170" spans="1:39" s="186" customFormat="1" ht="24" customHeight="1" x14ac:dyDescent="0.25">
      <c r="A170" s="25">
        <v>159</v>
      </c>
      <c r="B170" s="34" t="s">
        <v>258</v>
      </c>
      <c r="C170" s="75">
        <f t="shared" si="6"/>
        <v>417499.58</v>
      </c>
      <c r="D170" s="75">
        <f t="shared" si="9"/>
        <v>417499.58</v>
      </c>
      <c r="E170" s="87">
        <v>0</v>
      </c>
      <c r="F170" s="75">
        <v>0</v>
      </c>
      <c r="G170" s="75">
        <v>0</v>
      </c>
      <c r="H170" s="87">
        <v>0</v>
      </c>
      <c r="I170" s="87">
        <v>417499.58</v>
      </c>
      <c r="J170" s="152">
        <v>0</v>
      </c>
      <c r="K170" s="75">
        <v>0</v>
      </c>
      <c r="L170" s="75">
        <v>0</v>
      </c>
      <c r="M170" s="75">
        <v>0</v>
      </c>
      <c r="N170" s="75">
        <v>0</v>
      </c>
      <c r="O170" s="75">
        <v>0</v>
      </c>
      <c r="P170" s="75">
        <v>0</v>
      </c>
      <c r="Q170" s="75">
        <v>0</v>
      </c>
      <c r="R170" s="75">
        <v>0</v>
      </c>
      <c r="S170" s="75">
        <v>0</v>
      </c>
      <c r="T170" s="75">
        <v>0</v>
      </c>
      <c r="U170" s="238"/>
      <c r="V170" s="238"/>
      <c r="W170" s="40"/>
      <c r="X170" s="40"/>
      <c r="Y170" s="40"/>
      <c r="Z170" s="40"/>
      <c r="AA170" s="40"/>
      <c r="AB170" s="40"/>
      <c r="AC170" s="40"/>
      <c r="AD170" s="40"/>
      <c r="AE170" s="40"/>
      <c r="AF170" s="40"/>
      <c r="AG170" s="40"/>
      <c r="AH170" s="40"/>
      <c r="AI170" s="40"/>
    </row>
    <row r="171" spans="1:39" s="186" customFormat="1" ht="24" customHeight="1" x14ac:dyDescent="0.25">
      <c r="A171" s="25">
        <v>160</v>
      </c>
      <c r="B171" s="34" t="s">
        <v>1023</v>
      </c>
      <c r="C171" s="75">
        <f t="shared" ref="C171:C212" si="10">D171+K171+L171+M171+N171+O171+P171+Q171+R171+S171+T171</f>
        <v>878766.19</v>
      </c>
      <c r="D171" s="75">
        <f t="shared" si="9"/>
        <v>416007.79</v>
      </c>
      <c r="E171" s="87">
        <v>416007.79</v>
      </c>
      <c r="F171" s="75">
        <v>0</v>
      </c>
      <c r="G171" s="75">
        <v>0</v>
      </c>
      <c r="H171" s="87">
        <v>0</v>
      </c>
      <c r="I171" s="75">
        <v>0</v>
      </c>
      <c r="J171" s="152">
        <v>0</v>
      </c>
      <c r="K171" s="75">
        <v>0</v>
      </c>
      <c r="L171" s="75">
        <v>0</v>
      </c>
      <c r="M171" s="75">
        <v>0</v>
      </c>
      <c r="N171" s="75">
        <v>0</v>
      </c>
      <c r="O171" s="75">
        <v>0</v>
      </c>
      <c r="P171" s="87">
        <f>231379.2+231379.2</f>
        <v>462758.40000000002</v>
      </c>
      <c r="Q171" s="75">
        <v>0</v>
      </c>
      <c r="R171" s="75">
        <v>0</v>
      </c>
      <c r="S171" s="75">
        <v>0</v>
      </c>
      <c r="T171" s="75">
        <v>0</v>
      </c>
      <c r="U171" s="238"/>
      <c r="V171" s="238"/>
    </row>
    <row r="172" spans="1:39" s="186" customFormat="1" ht="24" customHeight="1" x14ac:dyDescent="0.25">
      <c r="A172" s="25">
        <v>161</v>
      </c>
      <c r="B172" s="39" t="s">
        <v>260</v>
      </c>
      <c r="C172" s="75">
        <f t="shared" si="10"/>
        <v>3321610.6300000004</v>
      </c>
      <c r="D172" s="75">
        <f t="shared" si="9"/>
        <v>3321610.6300000004</v>
      </c>
      <c r="E172" s="87">
        <v>2864583.68</v>
      </c>
      <c r="F172" s="75">
        <v>0</v>
      </c>
      <c r="G172" s="75">
        <v>0</v>
      </c>
      <c r="H172" s="87">
        <v>457026.95</v>
      </c>
      <c r="I172" s="75">
        <v>0</v>
      </c>
      <c r="J172" s="152">
        <v>0</v>
      </c>
      <c r="K172" s="75">
        <v>0</v>
      </c>
      <c r="L172" s="87">
        <v>0</v>
      </c>
      <c r="M172" s="75">
        <v>0</v>
      </c>
      <c r="N172" s="75">
        <v>0</v>
      </c>
      <c r="O172" s="75">
        <v>0</v>
      </c>
      <c r="P172" s="87">
        <v>0</v>
      </c>
      <c r="Q172" s="75">
        <v>0</v>
      </c>
      <c r="R172" s="75">
        <v>0</v>
      </c>
      <c r="S172" s="75">
        <v>0</v>
      </c>
      <c r="T172" s="75">
        <v>0</v>
      </c>
      <c r="U172" s="238"/>
      <c r="V172" s="238"/>
    </row>
    <row r="173" spans="1:39" s="186" customFormat="1" ht="24" customHeight="1" x14ac:dyDescent="0.25">
      <c r="A173" s="25">
        <v>162</v>
      </c>
      <c r="B173" s="39" t="s">
        <v>261</v>
      </c>
      <c r="C173" s="75">
        <f t="shared" si="10"/>
        <v>552648.25</v>
      </c>
      <c r="D173" s="75">
        <f t="shared" si="9"/>
        <v>552648.25</v>
      </c>
      <c r="E173" s="87">
        <v>552648.25</v>
      </c>
      <c r="F173" s="75">
        <v>0</v>
      </c>
      <c r="G173" s="87">
        <v>0</v>
      </c>
      <c r="H173" s="87">
        <v>0</v>
      </c>
      <c r="I173" s="87">
        <v>0</v>
      </c>
      <c r="J173" s="152">
        <v>0</v>
      </c>
      <c r="K173" s="75">
        <v>0</v>
      </c>
      <c r="L173" s="75">
        <v>0</v>
      </c>
      <c r="M173" s="75">
        <v>0</v>
      </c>
      <c r="N173" s="75">
        <v>0</v>
      </c>
      <c r="O173" s="75">
        <v>0</v>
      </c>
      <c r="P173" s="75">
        <v>0</v>
      </c>
      <c r="Q173" s="75">
        <v>0</v>
      </c>
      <c r="R173" s="75">
        <v>0</v>
      </c>
      <c r="S173" s="75">
        <v>0</v>
      </c>
      <c r="T173" s="75">
        <v>0</v>
      </c>
      <c r="U173" s="238"/>
      <c r="V173" s="238"/>
    </row>
    <row r="174" spans="1:39" s="186" customFormat="1" ht="24" customHeight="1" x14ac:dyDescent="0.25">
      <c r="A174" s="25">
        <v>163</v>
      </c>
      <c r="B174" s="39" t="s">
        <v>1024</v>
      </c>
      <c r="C174" s="75">
        <f t="shared" si="10"/>
        <v>265265.28999999998</v>
      </c>
      <c r="D174" s="75">
        <f t="shared" si="9"/>
        <v>0</v>
      </c>
      <c r="E174" s="87">
        <v>0</v>
      </c>
      <c r="F174" s="75">
        <v>0</v>
      </c>
      <c r="G174" s="75">
        <v>0</v>
      </c>
      <c r="H174" s="87">
        <v>0</v>
      </c>
      <c r="I174" s="75">
        <v>0</v>
      </c>
      <c r="J174" s="152">
        <v>0</v>
      </c>
      <c r="K174" s="75">
        <v>0</v>
      </c>
      <c r="L174" s="87">
        <v>0</v>
      </c>
      <c r="M174" s="75">
        <v>0</v>
      </c>
      <c r="N174" s="75">
        <v>0</v>
      </c>
      <c r="O174" s="75">
        <v>0</v>
      </c>
      <c r="P174" s="87">
        <v>265265.28999999998</v>
      </c>
      <c r="Q174" s="75">
        <v>0</v>
      </c>
      <c r="R174" s="75">
        <v>0</v>
      </c>
      <c r="S174" s="75">
        <v>0</v>
      </c>
      <c r="T174" s="75">
        <v>0</v>
      </c>
      <c r="U174" s="238"/>
      <c r="V174" s="238"/>
      <c r="W174" s="40"/>
      <c r="X174" s="40"/>
      <c r="Y174" s="40"/>
      <c r="Z174" s="40"/>
      <c r="AA174" s="40"/>
      <c r="AB174" s="40"/>
      <c r="AC174" s="40"/>
      <c r="AD174" s="40"/>
      <c r="AE174" s="40"/>
      <c r="AF174" s="40"/>
      <c r="AG174" s="40"/>
      <c r="AH174" s="40"/>
      <c r="AI174" s="40"/>
    </row>
    <row r="175" spans="1:39" s="186" customFormat="1" ht="24" customHeight="1" x14ac:dyDescent="0.25">
      <c r="A175" s="25">
        <v>164</v>
      </c>
      <c r="B175" s="39" t="s">
        <v>1025</v>
      </c>
      <c r="C175" s="75">
        <f t="shared" si="10"/>
        <v>198337.28</v>
      </c>
      <c r="D175" s="75">
        <f t="shared" si="9"/>
        <v>0</v>
      </c>
      <c r="E175" s="87">
        <v>0</v>
      </c>
      <c r="F175" s="75">
        <v>0</v>
      </c>
      <c r="G175" s="75">
        <v>0</v>
      </c>
      <c r="H175" s="87">
        <v>0</v>
      </c>
      <c r="I175" s="75">
        <v>0</v>
      </c>
      <c r="J175" s="152">
        <v>0</v>
      </c>
      <c r="K175" s="75">
        <v>0</v>
      </c>
      <c r="L175" s="87">
        <v>0</v>
      </c>
      <c r="M175" s="75">
        <v>0</v>
      </c>
      <c r="N175" s="75">
        <v>0</v>
      </c>
      <c r="O175" s="75">
        <v>0</v>
      </c>
      <c r="P175" s="87">
        <v>198337.28</v>
      </c>
      <c r="Q175" s="75">
        <v>0</v>
      </c>
      <c r="R175" s="75">
        <v>0</v>
      </c>
      <c r="S175" s="75">
        <v>0</v>
      </c>
      <c r="T175" s="75">
        <v>0</v>
      </c>
      <c r="U175" s="238"/>
      <c r="V175" s="238"/>
      <c r="W175" s="40"/>
      <c r="X175" s="40"/>
      <c r="Y175" s="40"/>
      <c r="Z175" s="40"/>
      <c r="AA175" s="40"/>
      <c r="AB175" s="40"/>
      <c r="AC175" s="40"/>
      <c r="AD175" s="40"/>
      <c r="AE175" s="40"/>
      <c r="AF175" s="40"/>
      <c r="AG175" s="40"/>
      <c r="AH175" s="40"/>
      <c r="AI175" s="40"/>
      <c r="AJ175" s="40"/>
      <c r="AK175" s="40"/>
      <c r="AL175" s="40"/>
      <c r="AM175" s="40"/>
    </row>
    <row r="176" spans="1:39" s="186" customFormat="1" ht="24" customHeight="1" x14ac:dyDescent="0.25">
      <c r="A176" s="25">
        <v>165</v>
      </c>
      <c r="B176" s="34" t="s">
        <v>1026</v>
      </c>
      <c r="C176" s="75">
        <f t="shared" si="10"/>
        <v>7217703.7599999998</v>
      </c>
      <c r="D176" s="75">
        <f t="shared" si="9"/>
        <v>0</v>
      </c>
      <c r="E176" s="87">
        <v>0</v>
      </c>
      <c r="F176" s="75">
        <v>0</v>
      </c>
      <c r="G176" s="75">
        <v>0</v>
      </c>
      <c r="H176" s="87">
        <v>0</v>
      </c>
      <c r="I176" s="75">
        <v>0</v>
      </c>
      <c r="J176" s="152">
        <v>2</v>
      </c>
      <c r="K176" s="87">
        <v>7157417.4199999999</v>
      </c>
      <c r="L176" s="75">
        <v>0</v>
      </c>
      <c r="M176" s="75">
        <v>0</v>
      </c>
      <c r="N176" s="75">
        <v>0</v>
      </c>
      <c r="O176" s="75">
        <v>0</v>
      </c>
      <c r="P176" s="87">
        <v>60286.34</v>
      </c>
      <c r="Q176" s="75">
        <v>0</v>
      </c>
      <c r="R176" s="75">
        <v>0</v>
      </c>
      <c r="S176" s="75">
        <v>0</v>
      </c>
      <c r="T176" s="75">
        <v>0</v>
      </c>
      <c r="U176" s="239"/>
      <c r="V176" s="239"/>
    </row>
    <row r="177" spans="1:39" s="186" customFormat="1" ht="24" customHeight="1" x14ac:dyDescent="0.25">
      <c r="A177" s="25">
        <v>166</v>
      </c>
      <c r="B177" s="34" t="s">
        <v>265</v>
      </c>
      <c r="C177" s="75">
        <f t="shared" si="10"/>
        <v>6686341.6799999997</v>
      </c>
      <c r="D177" s="75">
        <f t="shared" si="9"/>
        <v>0</v>
      </c>
      <c r="E177" s="87">
        <v>0</v>
      </c>
      <c r="F177" s="75">
        <v>0</v>
      </c>
      <c r="G177" s="75">
        <v>0</v>
      </c>
      <c r="H177" s="87">
        <v>0</v>
      </c>
      <c r="I177" s="75">
        <v>0</v>
      </c>
      <c r="J177" s="152">
        <v>0</v>
      </c>
      <c r="K177" s="87">
        <v>0</v>
      </c>
      <c r="L177" s="75">
        <v>6686341.6799999997</v>
      </c>
      <c r="M177" s="75">
        <v>0</v>
      </c>
      <c r="N177" s="75">
        <v>0</v>
      </c>
      <c r="O177" s="75">
        <v>0</v>
      </c>
      <c r="P177" s="75">
        <v>0</v>
      </c>
      <c r="Q177" s="75">
        <v>0</v>
      </c>
      <c r="R177" s="75">
        <v>0</v>
      </c>
      <c r="S177" s="75">
        <v>0</v>
      </c>
      <c r="T177" s="75">
        <v>0</v>
      </c>
      <c r="U177" s="239"/>
      <c r="V177" s="239"/>
    </row>
    <row r="178" spans="1:39" s="186" customFormat="1" ht="24" customHeight="1" x14ac:dyDescent="0.25">
      <c r="A178" s="25">
        <v>167</v>
      </c>
      <c r="B178" s="34" t="s">
        <v>1027</v>
      </c>
      <c r="C178" s="75">
        <f t="shared" si="10"/>
        <v>200414.46</v>
      </c>
      <c r="D178" s="75">
        <f t="shared" si="9"/>
        <v>0</v>
      </c>
      <c r="E178" s="87">
        <v>0</v>
      </c>
      <c r="F178" s="75">
        <v>0</v>
      </c>
      <c r="G178" s="75">
        <v>0</v>
      </c>
      <c r="H178" s="87">
        <v>0</v>
      </c>
      <c r="I178" s="75">
        <v>0</v>
      </c>
      <c r="J178" s="152">
        <v>0</v>
      </c>
      <c r="K178" s="75">
        <v>0</v>
      </c>
      <c r="L178" s="75">
        <v>0</v>
      </c>
      <c r="M178" s="75">
        <v>0</v>
      </c>
      <c r="N178" s="87">
        <v>0</v>
      </c>
      <c r="O178" s="75">
        <v>0</v>
      </c>
      <c r="P178" s="87">
        <v>200414.46</v>
      </c>
      <c r="Q178" s="75">
        <v>0</v>
      </c>
      <c r="R178" s="75">
        <v>0</v>
      </c>
      <c r="S178" s="75">
        <v>0</v>
      </c>
      <c r="T178" s="75">
        <v>0</v>
      </c>
      <c r="U178" s="238"/>
      <c r="V178" s="238"/>
      <c r="W178" s="23"/>
      <c r="X178" s="23"/>
      <c r="Y178" s="23"/>
      <c r="Z178" s="23"/>
      <c r="AA178" s="23"/>
      <c r="AB178" s="23"/>
      <c r="AC178" s="23"/>
      <c r="AD178" s="23"/>
      <c r="AE178" s="23"/>
      <c r="AF178" s="23"/>
      <c r="AG178" s="23"/>
      <c r="AH178" s="23"/>
      <c r="AI178" s="23"/>
      <c r="AJ178" s="23"/>
      <c r="AK178" s="23"/>
      <c r="AL178" s="23"/>
      <c r="AM178" s="23"/>
    </row>
    <row r="179" spans="1:39" s="186" customFormat="1" ht="24" customHeight="1" x14ac:dyDescent="0.25">
      <c r="A179" s="25">
        <v>168</v>
      </c>
      <c r="B179" s="34" t="s">
        <v>268</v>
      </c>
      <c r="C179" s="75">
        <f t="shared" si="10"/>
        <v>6231042.2599999998</v>
      </c>
      <c r="D179" s="75">
        <f t="shared" si="9"/>
        <v>0</v>
      </c>
      <c r="E179" s="87">
        <v>0</v>
      </c>
      <c r="F179" s="75">
        <v>0</v>
      </c>
      <c r="G179" s="75">
        <v>0</v>
      </c>
      <c r="H179" s="87">
        <v>0</v>
      </c>
      <c r="I179" s="75">
        <v>0</v>
      </c>
      <c r="J179" s="152">
        <v>2</v>
      </c>
      <c r="K179" s="87">
        <v>6231042.2599999998</v>
      </c>
      <c r="L179" s="75">
        <v>0</v>
      </c>
      <c r="M179" s="75">
        <v>0</v>
      </c>
      <c r="N179" s="75">
        <v>0</v>
      </c>
      <c r="O179" s="75">
        <v>0</v>
      </c>
      <c r="P179" s="75">
        <v>0</v>
      </c>
      <c r="Q179" s="75">
        <v>0</v>
      </c>
      <c r="R179" s="75">
        <v>0</v>
      </c>
      <c r="S179" s="75">
        <v>0</v>
      </c>
      <c r="T179" s="75">
        <v>0</v>
      </c>
      <c r="U179" s="239"/>
      <c r="V179" s="239"/>
    </row>
    <row r="180" spans="1:39" s="186" customFormat="1" ht="24" customHeight="1" x14ac:dyDescent="0.25">
      <c r="A180" s="45">
        <v>169</v>
      </c>
      <c r="B180" s="244" t="s">
        <v>270</v>
      </c>
      <c r="C180" s="245">
        <f t="shared" si="10"/>
        <v>3995273.98</v>
      </c>
      <c r="D180" s="246">
        <f t="shared" si="9"/>
        <v>3995273.98</v>
      </c>
      <c r="E180" s="247">
        <v>0</v>
      </c>
      <c r="F180" s="247">
        <v>3995273.98</v>
      </c>
      <c r="G180" s="245">
        <v>0</v>
      </c>
      <c r="H180" s="247">
        <v>0</v>
      </c>
      <c r="I180" s="245">
        <v>0</v>
      </c>
      <c r="J180" s="248">
        <v>0</v>
      </c>
      <c r="K180" s="245">
        <v>0</v>
      </c>
      <c r="L180" s="246">
        <v>0</v>
      </c>
      <c r="M180" s="245">
        <v>0</v>
      </c>
      <c r="N180" s="247">
        <v>0</v>
      </c>
      <c r="O180" s="245">
        <v>0</v>
      </c>
      <c r="P180" s="247">
        <v>0</v>
      </c>
      <c r="Q180" s="245">
        <v>0</v>
      </c>
      <c r="R180" s="246">
        <v>0</v>
      </c>
      <c r="S180" s="245">
        <v>0</v>
      </c>
      <c r="T180" s="246">
        <v>0</v>
      </c>
      <c r="U180" s="249" t="s">
        <v>1028</v>
      </c>
      <c r="V180" s="249"/>
      <c r="W180" s="250"/>
      <c r="X180" s="250"/>
      <c r="Y180" s="250"/>
      <c r="Z180" s="250"/>
      <c r="AA180" s="250"/>
      <c r="AB180" s="250"/>
      <c r="AC180" s="250"/>
      <c r="AD180" s="250"/>
      <c r="AE180" s="250"/>
      <c r="AF180" s="250"/>
      <c r="AG180" s="250"/>
      <c r="AH180" s="250"/>
      <c r="AI180" s="250"/>
    </row>
    <row r="181" spans="1:39" s="186" customFormat="1" ht="24" customHeight="1" x14ac:dyDescent="0.25">
      <c r="A181" s="25">
        <v>169</v>
      </c>
      <c r="B181" s="34" t="s">
        <v>1029</v>
      </c>
      <c r="C181" s="75">
        <f t="shared" si="10"/>
        <v>286474.39</v>
      </c>
      <c r="D181" s="75">
        <f t="shared" si="9"/>
        <v>0</v>
      </c>
      <c r="E181" s="87">
        <v>0</v>
      </c>
      <c r="F181" s="87">
        <v>0</v>
      </c>
      <c r="G181" s="75">
        <v>0</v>
      </c>
      <c r="H181" s="87">
        <v>0</v>
      </c>
      <c r="I181" s="75">
        <v>0</v>
      </c>
      <c r="J181" s="152">
        <v>0</v>
      </c>
      <c r="K181" s="75">
        <v>0</v>
      </c>
      <c r="L181" s="75">
        <v>0</v>
      </c>
      <c r="M181" s="75">
        <v>0</v>
      </c>
      <c r="N181" s="87">
        <v>0</v>
      </c>
      <c r="O181" s="75">
        <v>0</v>
      </c>
      <c r="P181" s="87">
        <v>286474.39</v>
      </c>
      <c r="Q181" s="75">
        <v>0</v>
      </c>
      <c r="R181" s="75">
        <v>0</v>
      </c>
      <c r="S181" s="75">
        <v>0</v>
      </c>
      <c r="T181" s="75">
        <v>0</v>
      </c>
      <c r="U181" s="238"/>
      <c r="V181" s="238"/>
    </row>
    <row r="182" spans="1:39" s="186" customFormat="1" ht="24" customHeight="1" x14ac:dyDescent="0.25">
      <c r="A182" s="25">
        <v>170</v>
      </c>
      <c r="B182" s="34" t="s">
        <v>272</v>
      </c>
      <c r="C182" s="75">
        <f t="shared" si="10"/>
        <v>7099353.2000000002</v>
      </c>
      <c r="D182" s="75">
        <f t="shared" si="9"/>
        <v>0</v>
      </c>
      <c r="E182" s="87">
        <v>0</v>
      </c>
      <c r="F182" s="87">
        <v>0</v>
      </c>
      <c r="G182" s="75">
        <v>0</v>
      </c>
      <c r="H182" s="87">
        <v>0</v>
      </c>
      <c r="I182" s="75">
        <v>0</v>
      </c>
      <c r="J182" s="152">
        <v>0</v>
      </c>
      <c r="K182" s="75">
        <v>0</v>
      </c>
      <c r="L182" s="75">
        <v>0</v>
      </c>
      <c r="M182" s="75">
        <v>0</v>
      </c>
      <c r="N182" s="87">
        <v>7099353.2000000002</v>
      </c>
      <c r="O182" s="75">
        <v>0</v>
      </c>
      <c r="P182" s="87">
        <v>0</v>
      </c>
      <c r="Q182" s="75">
        <v>0</v>
      </c>
      <c r="R182" s="75">
        <v>0</v>
      </c>
      <c r="S182" s="75">
        <v>0</v>
      </c>
      <c r="T182" s="75">
        <v>0</v>
      </c>
      <c r="U182" s="238"/>
      <c r="V182" s="238"/>
    </row>
    <row r="183" spans="1:39" s="186" customFormat="1" ht="24" customHeight="1" x14ac:dyDescent="0.25">
      <c r="A183" s="25">
        <v>171</v>
      </c>
      <c r="B183" s="34" t="s">
        <v>273</v>
      </c>
      <c r="C183" s="75">
        <f t="shared" si="10"/>
        <v>305150.23</v>
      </c>
      <c r="D183" s="75">
        <f t="shared" si="9"/>
        <v>305150.23</v>
      </c>
      <c r="E183" s="87">
        <v>0</v>
      </c>
      <c r="F183" s="75">
        <v>0</v>
      </c>
      <c r="G183" s="75">
        <v>0</v>
      </c>
      <c r="H183" s="87">
        <v>305150.23</v>
      </c>
      <c r="I183" s="75">
        <v>0</v>
      </c>
      <c r="J183" s="152">
        <v>0</v>
      </c>
      <c r="K183" s="75">
        <v>0</v>
      </c>
      <c r="L183" s="75">
        <v>0</v>
      </c>
      <c r="M183" s="75">
        <v>0</v>
      </c>
      <c r="N183" s="75">
        <v>0</v>
      </c>
      <c r="O183" s="75">
        <v>0</v>
      </c>
      <c r="P183" s="75">
        <v>0</v>
      </c>
      <c r="Q183" s="75">
        <v>0</v>
      </c>
      <c r="R183" s="75">
        <v>0</v>
      </c>
      <c r="S183" s="75">
        <v>0</v>
      </c>
      <c r="T183" s="75">
        <v>0</v>
      </c>
      <c r="U183" s="238"/>
      <c r="V183" s="238"/>
    </row>
    <row r="184" spans="1:39" s="186" customFormat="1" ht="24" customHeight="1" x14ac:dyDescent="0.25">
      <c r="A184" s="25">
        <v>172</v>
      </c>
      <c r="B184" s="34" t="s">
        <v>1030</v>
      </c>
      <c r="C184" s="75">
        <f t="shared" si="10"/>
        <v>369205.76000000001</v>
      </c>
      <c r="D184" s="75">
        <f t="shared" si="9"/>
        <v>0</v>
      </c>
      <c r="E184" s="87">
        <v>0</v>
      </c>
      <c r="F184" s="75">
        <v>0</v>
      </c>
      <c r="G184" s="87">
        <v>0</v>
      </c>
      <c r="H184" s="87">
        <v>0</v>
      </c>
      <c r="I184" s="75">
        <v>0</v>
      </c>
      <c r="J184" s="152">
        <v>0</v>
      </c>
      <c r="K184" s="75">
        <v>0</v>
      </c>
      <c r="L184" s="75">
        <v>0</v>
      </c>
      <c r="M184" s="75">
        <v>0</v>
      </c>
      <c r="N184" s="75">
        <v>0</v>
      </c>
      <c r="O184" s="75">
        <v>0</v>
      </c>
      <c r="P184" s="75">
        <v>369205.76000000001</v>
      </c>
      <c r="Q184" s="75">
        <v>0</v>
      </c>
      <c r="R184" s="75">
        <v>0</v>
      </c>
      <c r="S184" s="75">
        <v>0</v>
      </c>
      <c r="T184" s="75">
        <v>0</v>
      </c>
      <c r="U184" s="238"/>
      <c r="V184" s="238"/>
    </row>
    <row r="185" spans="1:39" s="186" customFormat="1" ht="24" customHeight="1" x14ac:dyDescent="0.25">
      <c r="A185" s="25">
        <v>173</v>
      </c>
      <c r="B185" s="34" t="s">
        <v>1031</v>
      </c>
      <c r="C185" s="75">
        <f t="shared" si="10"/>
        <v>197832.14</v>
      </c>
      <c r="D185" s="75">
        <f t="shared" si="9"/>
        <v>0</v>
      </c>
      <c r="E185" s="87">
        <v>0</v>
      </c>
      <c r="F185" s="75">
        <v>0</v>
      </c>
      <c r="G185" s="75">
        <v>0</v>
      </c>
      <c r="H185" s="87">
        <v>0</v>
      </c>
      <c r="I185" s="75">
        <v>0</v>
      </c>
      <c r="J185" s="152">
        <v>0</v>
      </c>
      <c r="K185" s="75">
        <v>0</v>
      </c>
      <c r="L185" s="87">
        <v>0</v>
      </c>
      <c r="M185" s="75">
        <v>0</v>
      </c>
      <c r="N185" s="75">
        <v>0</v>
      </c>
      <c r="O185" s="75">
        <v>0</v>
      </c>
      <c r="P185" s="87">
        <v>197832.14</v>
      </c>
      <c r="Q185" s="75">
        <v>0</v>
      </c>
      <c r="R185" s="75">
        <v>0</v>
      </c>
      <c r="S185" s="75">
        <v>0</v>
      </c>
      <c r="T185" s="75">
        <v>0</v>
      </c>
      <c r="U185" s="238"/>
      <c r="V185" s="238"/>
    </row>
    <row r="186" spans="1:39" s="186" customFormat="1" ht="24" customHeight="1" x14ac:dyDescent="0.25">
      <c r="A186" s="25">
        <v>174</v>
      </c>
      <c r="B186" s="34" t="s">
        <v>1032</v>
      </c>
      <c r="C186" s="75">
        <f t="shared" si="10"/>
        <v>899393.77999999991</v>
      </c>
      <c r="D186" s="75">
        <f t="shared" si="9"/>
        <v>740410.94</v>
      </c>
      <c r="E186" s="87">
        <v>0</v>
      </c>
      <c r="F186" s="87">
        <v>740410.94</v>
      </c>
      <c r="G186" s="75">
        <v>0</v>
      </c>
      <c r="H186" s="87">
        <v>0</v>
      </c>
      <c r="I186" s="87">
        <v>0</v>
      </c>
      <c r="J186" s="152">
        <v>0</v>
      </c>
      <c r="K186" s="75">
        <v>0</v>
      </c>
      <c r="L186" s="75">
        <v>0</v>
      </c>
      <c r="M186" s="75">
        <v>0</v>
      </c>
      <c r="N186" s="75">
        <v>0</v>
      </c>
      <c r="O186" s="75">
        <v>0</v>
      </c>
      <c r="P186" s="87">
        <v>158982.84</v>
      </c>
      <c r="Q186" s="75">
        <v>0</v>
      </c>
      <c r="R186" s="75">
        <v>0</v>
      </c>
      <c r="S186" s="75">
        <v>0</v>
      </c>
      <c r="T186" s="75">
        <v>0</v>
      </c>
      <c r="U186" s="238"/>
      <c r="V186" s="238"/>
    </row>
    <row r="187" spans="1:39" s="186" customFormat="1" ht="24" customHeight="1" x14ac:dyDescent="0.25">
      <c r="A187" s="25">
        <v>175</v>
      </c>
      <c r="B187" s="34" t="s">
        <v>1033</v>
      </c>
      <c r="C187" s="75">
        <f t="shared" si="10"/>
        <v>2920463.1300000004</v>
      </c>
      <c r="D187" s="75">
        <f t="shared" si="9"/>
        <v>2626701.4700000002</v>
      </c>
      <c r="E187" s="87">
        <v>2626701.4700000002</v>
      </c>
      <c r="F187" s="87">
        <v>0</v>
      </c>
      <c r="G187" s="75">
        <v>0</v>
      </c>
      <c r="H187" s="87">
        <v>0</v>
      </c>
      <c r="I187" s="75">
        <v>0</v>
      </c>
      <c r="J187" s="152">
        <v>0</v>
      </c>
      <c r="K187" s="75">
        <v>0</v>
      </c>
      <c r="L187" s="75">
        <v>0</v>
      </c>
      <c r="M187" s="75">
        <v>0</v>
      </c>
      <c r="N187" s="75">
        <v>0</v>
      </c>
      <c r="O187" s="75">
        <v>0</v>
      </c>
      <c r="P187" s="87">
        <v>293761.65999999997</v>
      </c>
      <c r="Q187" s="75">
        <v>0</v>
      </c>
      <c r="R187" s="75">
        <v>0</v>
      </c>
      <c r="S187" s="75">
        <v>0</v>
      </c>
      <c r="T187" s="75">
        <v>0</v>
      </c>
      <c r="U187" s="238"/>
      <c r="V187" s="238"/>
    </row>
    <row r="188" spans="1:39" s="186" customFormat="1" ht="24" customHeight="1" x14ac:dyDescent="0.25">
      <c r="A188" s="25">
        <v>176</v>
      </c>
      <c r="B188" s="34" t="s">
        <v>278</v>
      </c>
      <c r="C188" s="75">
        <f t="shared" si="10"/>
        <v>2970493.5</v>
      </c>
      <c r="D188" s="75">
        <f t="shared" si="9"/>
        <v>0</v>
      </c>
      <c r="E188" s="87">
        <v>0</v>
      </c>
      <c r="F188" s="75">
        <v>0</v>
      </c>
      <c r="G188" s="75">
        <v>0</v>
      </c>
      <c r="H188" s="87">
        <v>0</v>
      </c>
      <c r="I188" s="75">
        <v>0</v>
      </c>
      <c r="J188" s="152">
        <v>1</v>
      </c>
      <c r="K188" s="87">
        <v>2970493.5</v>
      </c>
      <c r="L188" s="75">
        <v>0</v>
      </c>
      <c r="M188" s="75">
        <v>0</v>
      </c>
      <c r="N188" s="75">
        <v>0</v>
      </c>
      <c r="O188" s="75">
        <v>0</v>
      </c>
      <c r="P188" s="75">
        <v>0</v>
      </c>
      <c r="Q188" s="75">
        <v>0</v>
      </c>
      <c r="R188" s="75">
        <v>0</v>
      </c>
      <c r="S188" s="75">
        <v>0</v>
      </c>
      <c r="T188" s="75">
        <v>0</v>
      </c>
      <c r="U188" s="239"/>
      <c r="V188" s="239"/>
    </row>
    <row r="189" spans="1:39" s="186" customFormat="1" ht="24" customHeight="1" x14ac:dyDescent="0.25">
      <c r="A189" s="25">
        <v>177</v>
      </c>
      <c r="B189" s="34" t="s">
        <v>1034</v>
      </c>
      <c r="C189" s="75">
        <f t="shared" si="10"/>
        <v>19837780.93</v>
      </c>
      <c r="D189" s="75">
        <f t="shared" si="9"/>
        <v>18661328.84</v>
      </c>
      <c r="E189" s="87">
        <v>0</v>
      </c>
      <c r="F189" s="75">
        <v>0</v>
      </c>
      <c r="G189" s="75">
        <v>15433981.1</v>
      </c>
      <c r="H189" s="87">
        <v>2252506.94</v>
      </c>
      <c r="I189" s="75">
        <v>974840.8</v>
      </c>
      <c r="J189" s="152">
        <v>0</v>
      </c>
      <c r="K189" s="87">
        <v>0</v>
      </c>
      <c r="L189" s="75">
        <v>0</v>
      </c>
      <c r="M189" s="75">
        <v>0</v>
      </c>
      <c r="N189" s="75">
        <v>0</v>
      </c>
      <c r="O189" s="75">
        <v>0</v>
      </c>
      <c r="P189" s="75">
        <f>556325.79+620126.3</f>
        <v>1176452.0900000001</v>
      </c>
      <c r="Q189" s="75">
        <v>0</v>
      </c>
      <c r="R189" s="75">
        <v>0</v>
      </c>
      <c r="S189" s="75">
        <v>0</v>
      </c>
      <c r="T189" s="75">
        <v>0</v>
      </c>
      <c r="U189" s="239"/>
      <c r="V189" s="239"/>
    </row>
    <row r="190" spans="1:39" s="186" customFormat="1" ht="24" customHeight="1" x14ac:dyDescent="0.25">
      <c r="A190" s="25">
        <v>178</v>
      </c>
      <c r="B190" s="34" t="s">
        <v>1035</v>
      </c>
      <c r="C190" s="75">
        <f t="shared" si="10"/>
        <v>278214.34999999998</v>
      </c>
      <c r="D190" s="75">
        <f t="shared" si="9"/>
        <v>0</v>
      </c>
      <c r="E190" s="87">
        <v>0</v>
      </c>
      <c r="F190" s="87">
        <v>0</v>
      </c>
      <c r="G190" s="87">
        <v>0</v>
      </c>
      <c r="H190" s="87">
        <v>0</v>
      </c>
      <c r="I190" s="87">
        <v>0</v>
      </c>
      <c r="J190" s="152">
        <v>0</v>
      </c>
      <c r="K190" s="75">
        <v>0</v>
      </c>
      <c r="L190" s="75">
        <v>0</v>
      </c>
      <c r="M190" s="75">
        <v>0</v>
      </c>
      <c r="N190" s="75">
        <v>0</v>
      </c>
      <c r="O190" s="75">
        <v>0</v>
      </c>
      <c r="P190" s="87">
        <v>278214.34999999998</v>
      </c>
      <c r="Q190" s="75">
        <v>0</v>
      </c>
      <c r="R190" s="75">
        <v>0</v>
      </c>
      <c r="S190" s="75">
        <v>0</v>
      </c>
      <c r="T190" s="75">
        <v>0</v>
      </c>
      <c r="U190" s="238"/>
      <c r="V190" s="238"/>
    </row>
    <row r="191" spans="1:39" s="186" customFormat="1" ht="24" customHeight="1" x14ac:dyDescent="0.25">
      <c r="A191" s="25">
        <v>179</v>
      </c>
      <c r="B191" s="34" t="s">
        <v>1036</v>
      </c>
      <c r="C191" s="75">
        <f t="shared" si="10"/>
        <v>543742.03</v>
      </c>
      <c r="D191" s="75">
        <f t="shared" si="9"/>
        <v>0</v>
      </c>
      <c r="E191" s="87">
        <v>0</v>
      </c>
      <c r="F191" s="87">
        <v>0</v>
      </c>
      <c r="G191" s="87">
        <v>0</v>
      </c>
      <c r="H191" s="87">
        <v>0</v>
      </c>
      <c r="I191" s="87">
        <v>0</v>
      </c>
      <c r="J191" s="152">
        <v>0</v>
      </c>
      <c r="K191" s="75">
        <v>0</v>
      </c>
      <c r="L191" s="75">
        <v>0</v>
      </c>
      <c r="M191" s="75">
        <v>0</v>
      </c>
      <c r="N191" s="75">
        <v>0</v>
      </c>
      <c r="O191" s="75">
        <v>0</v>
      </c>
      <c r="P191" s="87">
        <f>323713.28+220028.75</f>
        <v>543742.03</v>
      </c>
      <c r="Q191" s="75">
        <v>0</v>
      </c>
      <c r="R191" s="75">
        <v>0</v>
      </c>
      <c r="S191" s="75">
        <v>0</v>
      </c>
      <c r="T191" s="75">
        <v>0</v>
      </c>
      <c r="U191" s="238"/>
      <c r="V191" s="238"/>
    </row>
    <row r="192" spans="1:39" s="186" customFormat="1" ht="24" customHeight="1" x14ac:dyDescent="0.25">
      <c r="A192" s="25">
        <v>180</v>
      </c>
      <c r="B192" s="34" t="s">
        <v>282</v>
      </c>
      <c r="C192" s="75">
        <f t="shared" si="10"/>
        <v>1588373.56</v>
      </c>
      <c r="D192" s="75">
        <f t="shared" si="9"/>
        <v>1588373.56</v>
      </c>
      <c r="E192" s="87">
        <v>1588373.56</v>
      </c>
      <c r="F192" s="87">
        <v>0</v>
      </c>
      <c r="G192" s="87">
        <v>0</v>
      </c>
      <c r="H192" s="87">
        <v>0</v>
      </c>
      <c r="I192" s="87">
        <v>0</v>
      </c>
      <c r="J192" s="152">
        <v>0</v>
      </c>
      <c r="K192" s="75">
        <v>0</v>
      </c>
      <c r="L192" s="75">
        <v>0</v>
      </c>
      <c r="M192" s="75">
        <v>0</v>
      </c>
      <c r="N192" s="75">
        <v>0</v>
      </c>
      <c r="O192" s="75">
        <v>0</v>
      </c>
      <c r="P192" s="87">
        <v>0</v>
      </c>
      <c r="Q192" s="75">
        <v>0</v>
      </c>
      <c r="R192" s="75">
        <v>0</v>
      </c>
      <c r="S192" s="75">
        <v>0</v>
      </c>
      <c r="T192" s="75">
        <v>0</v>
      </c>
      <c r="U192" s="238"/>
      <c r="V192" s="238"/>
    </row>
    <row r="193" spans="1:35" s="186" customFormat="1" ht="24" customHeight="1" x14ac:dyDescent="0.25">
      <c r="A193" s="25">
        <v>181</v>
      </c>
      <c r="B193" s="34" t="s">
        <v>283</v>
      </c>
      <c r="C193" s="75">
        <f t="shared" si="10"/>
        <v>2915106.04</v>
      </c>
      <c r="D193" s="75">
        <f t="shared" si="9"/>
        <v>0</v>
      </c>
      <c r="E193" s="87">
        <v>0</v>
      </c>
      <c r="F193" s="87">
        <v>0</v>
      </c>
      <c r="G193" s="87">
        <v>0</v>
      </c>
      <c r="H193" s="87">
        <v>0</v>
      </c>
      <c r="I193" s="87">
        <v>0</v>
      </c>
      <c r="J193" s="152">
        <v>0</v>
      </c>
      <c r="K193" s="75">
        <v>0</v>
      </c>
      <c r="L193" s="75">
        <v>2915106.04</v>
      </c>
      <c r="M193" s="75">
        <v>0</v>
      </c>
      <c r="N193" s="75">
        <v>0</v>
      </c>
      <c r="O193" s="75">
        <v>0</v>
      </c>
      <c r="P193" s="87">
        <v>0</v>
      </c>
      <c r="Q193" s="75">
        <v>0</v>
      </c>
      <c r="R193" s="75">
        <v>0</v>
      </c>
      <c r="S193" s="75">
        <v>0</v>
      </c>
      <c r="T193" s="75">
        <v>0</v>
      </c>
      <c r="U193" s="238"/>
      <c r="V193" s="238"/>
    </row>
    <row r="194" spans="1:35" s="186" customFormat="1" ht="24" customHeight="1" x14ac:dyDescent="0.25">
      <c r="A194" s="25">
        <v>182</v>
      </c>
      <c r="B194" s="34" t="s">
        <v>1037</v>
      </c>
      <c r="C194" s="75">
        <f t="shared" si="10"/>
        <v>273196.98</v>
      </c>
      <c r="D194" s="75">
        <f t="shared" si="9"/>
        <v>0</v>
      </c>
      <c r="E194" s="87">
        <v>0</v>
      </c>
      <c r="F194" s="75">
        <v>0</v>
      </c>
      <c r="G194" s="75">
        <v>0</v>
      </c>
      <c r="H194" s="87">
        <v>0</v>
      </c>
      <c r="I194" s="75">
        <v>0</v>
      </c>
      <c r="J194" s="152">
        <v>0</v>
      </c>
      <c r="K194" s="75">
        <v>0</v>
      </c>
      <c r="L194" s="75">
        <v>0</v>
      </c>
      <c r="M194" s="75">
        <v>0</v>
      </c>
      <c r="N194" s="87">
        <v>0</v>
      </c>
      <c r="O194" s="75">
        <v>0</v>
      </c>
      <c r="P194" s="75">
        <v>273196.98</v>
      </c>
      <c r="Q194" s="75">
        <v>0</v>
      </c>
      <c r="R194" s="75">
        <v>0</v>
      </c>
      <c r="S194" s="75">
        <v>0</v>
      </c>
      <c r="T194" s="75">
        <v>0</v>
      </c>
      <c r="U194" s="238"/>
      <c r="V194" s="238"/>
      <c r="W194" s="44"/>
      <c r="X194" s="44"/>
      <c r="Y194" s="44"/>
      <c r="Z194" s="44"/>
      <c r="AA194" s="44"/>
      <c r="AB194" s="44"/>
      <c r="AC194" s="44"/>
      <c r="AD194" s="44"/>
      <c r="AE194" s="44"/>
      <c r="AF194" s="44"/>
      <c r="AG194" s="44"/>
      <c r="AH194" s="44"/>
      <c r="AI194" s="44"/>
    </row>
    <row r="195" spans="1:35" s="186" customFormat="1" ht="26.25" customHeight="1" x14ac:dyDescent="0.25">
      <c r="A195" s="25">
        <v>183</v>
      </c>
      <c r="B195" s="34" t="s">
        <v>1038</v>
      </c>
      <c r="C195" s="75">
        <f t="shared" si="10"/>
        <v>216160.24</v>
      </c>
      <c r="D195" s="75">
        <f t="shared" si="9"/>
        <v>0</v>
      </c>
      <c r="E195" s="87">
        <v>0</v>
      </c>
      <c r="F195" s="75">
        <v>0</v>
      </c>
      <c r="G195" s="75">
        <v>0</v>
      </c>
      <c r="H195" s="87">
        <v>0</v>
      </c>
      <c r="I195" s="75">
        <v>0</v>
      </c>
      <c r="J195" s="152">
        <v>0</v>
      </c>
      <c r="K195" s="75">
        <v>0</v>
      </c>
      <c r="L195" s="75">
        <v>0</v>
      </c>
      <c r="M195" s="75">
        <v>0</v>
      </c>
      <c r="N195" s="75">
        <v>0</v>
      </c>
      <c r="O195" s="75">
        <v>0</v>
      </c>
      <c r="P195" s="87">
        <v>216160.24</v>
      </c>
      <c r="Q195" s="75">
        <v>0</v>
      </c>
      <c r="R195" s="75">
        <v>0</v>
      </c>
      <c r="S195" s="75">
        <v>0</v>
      </c>
      <c r="T195" s="75">
        <v>0</v>
      </c>
      <c r="U195" s="238"/>
      <c r="V195" s="238"/>
    </row>
    <row r="196" spans="1:35" s="186" customFormat="1" ht="26.25" customHeight="1" x14ac:dyDescent="0.25">
      <c r="A196" s="25">
        <v>184</v>
      </c>
      <c r="B196" s="38" t="s">
        <v>1039</v>
      </c>
      <c r="C196" s="75">
        <f t="shared" si="10"/>
        <v>3163919.3600000003</v>
      </c>
      <c r="D196" s="75">
        <f t="shared" si="9"/>
        <v>0</v>
      </c>
      <c r="E196" s="87">
        <v>0</v>
      </c>
      <c r="F196" s="75">
        <v>0</v>
      </c>
      <c r="G196" s="75">
        <v>0</v>
      </c>
      <c r="H196" s="87">
        <v>0</v>
      </c>
      <c r="I196" s="75">
        <v>0</v>
      </c>
      <c r="J196" s="152">
        <v>1</v>
      </c>
      <c r="K196" s="87">
        <v>3099166.7</v>
      </c>
      <c r="L196" s="75">
        <v>0</v>
      </c>
      <c r="M196" s="75">
        <v>0</v>
      </c>
      <c r="N196" s="75">
        <v>0</v>
      </c>
      <c r="O196" s="75">
        <v>0</v>
      </c>
      <c r="P196" s="87">
        <v>64752.66</v>
      </c>
      <c r="Q196" s="75">
        <v>0</v>
      </c>
      <c r="R196" s="75">
        <v>0</v>
      </c>
      <c r="S196" s="75">
        <v>0</v>
      </c>
      <c r="T196" s="75">
        <v>0</v>
      </c>
      <c r="U196" s="239"/>
      <c r="V196" s="239"/>
    </row>
    <row r="197" spans="1:35" s="186" customFormat="1" ht="24" customHeight="1" x14ac:dyDescent="0.25">
      <c r="A197" s="25">
        <v>185</v>
      </c>
      <c r="B197" s="34" t="s">
        <v>1040</v>
      </c>
      <c r="C197" s="75">
        <f t="shared" si="10"/>
        <v>15394957.140000001</v>
      </c>
      <c r="D197" s="75">
        <f t="shared" si="9"/>
        <v>0</v>
      </c>
      <c r="E197" s="87">
        <v>0</v>
      </c>
      <c r="F197" s="75">
        <v>0</v>
      </c>
      <c r="G197" s="75">
        <v>0</v>
      </c>
      <c r="H197" s="87">
        <v>0</v>
      </c>
      <c r="I197" s="75">
        <v>0</v>
      </c>
      <c r="J197" s="152">
        <v>0</v>
      </c>
      <c r="K197" s="75">
        <v>0</v>
      </c>
      <c r="L197" s="75">
        <v>14609008.92</v>
      </c>
      <c r="M197" s="75">
        <v>0</v>
      </c>
      <c r="N197" s="75">
        <v>0</v>
      </c>
      <c r="O197" s="75">
        <v>0</v>
      </c>
      <c r="P197" s="87">
        <f>293738.63+221192.43+271017.16</f>
        <v>785948.22</v>
      </c>
      <c r="Q197" s="75">
        <v>0</v>
      </c>
      <c r="R197" s="75">
        <v>0</v>
      </c>
      <c r="S197" s="75">
        <v>0</v>
      </c>
      <c r="T197" s="75">
        <v>0</v>
      </c>
      <c r="U197" s="238"/>
      <c r="V197" s="238"/>
    </row>
    <row r="198" spans="1:35" s="186" customFormat="1" ht="24" customHeight="1" x14ac:dyDescent="0.25">
      <c r="A198" s="25">
        <v>186</v>
      </c>
      <c r="B198" s="34" t="s">
        <v>1041</v>
      </c>
      <c r="C198" s="75">
        <f t="shared" si="10"/>
        <v>5519507.4900000002</v>
      </c>
      <c r="D198" s="75">
        <f t="shared" si="9"/>
        <v>0</v>
      </c>
      <c r="E198" s="87">
        <v>0</v>
      </c>
      <c r="F198" s="75">
        <v>0</v>
      </c>
      <c r="G198" s="75">
        <v>0</v>
      </c>
      <c r="H198" s="87">
        <v>0</v>
      </c>
      <c r="I198" s="87">
        <v>0</v>
      </c>
      <c r="J198" s="152">
        <v>0</v>
      </c>
      <c r="K198" s="75">
        <v>0</v>
      </c>
      <c r="L198" s="87">
        <v>5230858.55</v>
      </c>
      <c r="M198" s="75">
        <v>0</v>
      </c>
      <c r="N198" s="75">
        <v>0</v>
      </c>
      <c r="O198" s="75">
        <v>0</v>
      </c>
      <c r="P198" s="87">
        <v>288648.94</v>
      </c>
      <c r="Q198" s="75">
        <v>0</v>
      </c>
      <c r="R198" s="75">
        <v>0</v>
      </c>
      <c r="S198" s="75">
        <v>0</v>
      </c>
      <c r="T198" s="75">
        <v>0</v>
      </c>
      <c r="U198" s="238"/>
      <c r="V198" s="238"/>
    </row>
    <row r="199" spans="1:35" s="186" customFormat="1" ht="24" customHeight="1" x14ac:dyDescent="0.25">
      <c r="A199" s="25">
        <v>187</v>
      </c>
      <c r="B199" s="39" t="s">
        <v>1042</v>
      </c>
      <c r="C199" s="75">
        <f t="shared" si="10"/>
        <v>146034.68</v>
      </c>
      <c r="D199" s="75">
        <f t="shared" si="9"/>
        <v>0</v>
      </c>
      <c r="E199" s="87">
        <v>0</v>
      </c>
      <c r="F199" s="87">
        <v>0</v>
      </c>
      <c r="G199" s="87">
        <v>0</v>
      </c>
      <c r="H199" s="87">
        <v>0</v>
      </c>
      <c r="I199" s="87">
        <v>0</v>
      </c>
      <c r="J199" s="152">
        <v>0</v>
      </c>
      <c r="K199" s="75">
        <v>0</v>
      </c>
      <c r="L199" s="75">
        <v>0</v>
      </c>
      <c r="M199" s="75">
        <v>0</v>
      </c>
      <c r="N199" s="87">
        <v>0</v>
      </c>
      <c r="O199" s="75">
        <v>0</v>
      </c>
      <c r="P199" s="87">
        <f>109035.8+36998.88</f>
        <v>146034.68</v>
      </c>
      <c r="Q199" s="75">
        <v>0</v>
      </c>
      <c r="R199" s="75">
        <v>0</v>
      </c>
      <c r="S199" s="75">
        <v>0</v>
      </c>
      <c r="T199" s="75">
        <v>0</v>
      </c>
      <c r="U199" s="239"/>
      <c r="V199" s="239"/>
    </row>
    <row r="200" spans="1:35" s="186" customFormat="1" ht="24" customHeight="1" x14ac:dyDescent="0.25">
      <c r="A200" s="25">
        <v>188</v>
      </c>
      <c r="B200" s="34" t="s">
        <v>1043</v>
      </c>
      <c r="C200" s="75">
        <f t="shared" si="10"/>
        <v>207377.08</v>
      </c>
      <c r="D200" s="75">
        <f t="shared" si="9"/>
        <v>0</v>
      </c>
      <c r="E200" s="87">
        <v>0</v>
      </c>
      <c r="F200" s="87">
        <v>0</v>
      </c>
      <c r="G200" s="75">
        <v>0</v>
      </c>
      <c r="H200" s="87">
        <v>0</v>
      </c>
      <c r="I200" s="87">
        <v>0</v>
      </c>
      <c r="J200" s="152">
        <v>0</v>
      </c>
      <c r="K200" s="75">
        <v>0</v>
      </c>
      <c r="L200" s="75">
        <v>0</v>
      </c>
      <c r="M200" s="75">
        <v>0</v>
      </c>
      <c r="N200" s="75">
        <v>0</v>
      </c>
      <c r="O200" s="75">
        <v>0</v>
      </c>
      <c r="P200" s="87">
        <v>207377.08</v>
      </c>
      <c r="Q200" s="75">
        <v>0</v>
      </c>
      <c r="R200" s="75">
        <v>0</v>
      </c>
      <c r="S200" s="75">
        <v>0</v>
      </c>
      <c r="T200" s="75">
        <v>0</v>
      </c>
      <c r="U200" s="238"/>
      <c r="V200" s="238"/>
      <c r="W200" s="40"/>
      <c r="X200" s="40"/>
      <c r="Y200" s="40"/>
      <c r="Z200" s="40"/>
      <c r="AA200" s="40"/>
      <c r="AB200" s="40"/>
      <c r="AC200" s="40"/>
      <c r="AD200" s="40"/>
      <c r="AE200" s="40"/>
      <c r="AF200" s="40"/>
      <c r="AG200" s="40"/>
      <c r="AH200" s="40"/>
      <c r="AI200" s="40"/>
    </row>
    <row r="201" spans="1:35" s="23" customFormat="1" ht="23.45" customHeight="1" x14ac:dyDescent="0.25">
      <c r="A201" s="25">
        <v>189</v>
      </c>
      <c r="B201" s="34" t="s">
        <v>1044</v>
      </c>
      <c r="C201" s="75">
        <f t="shared" si="10"/>
        <v>226352.8</v>
      </c>
      <c r="D201" s="75">
        <f t="shared" si="9"/>
        <v>0</v>
      </c>
      <c r="E201" s="87">
        <v>0</v>
      </c>
      <c r="F201" s="75">
        <v>0</v>
      </c>
      <c r="G201" s="75">
        <v>0</v>
      </c>
      <c r="H201" s="87">
        <v>0</v>
      </c>
      <c r="I201" s="75">
        <v>0</v>
      </c>
      <c r="J201" s="152">
        <v>0</v>
      </c>
      <c r="K201" s="75">
        <v>0</v>
      </c>
      <c r="L201" s="87">
        <v>0</v>
      </c>
      <c r="M201" s="75">
        <v>0</v>
      </c>
      <c r="N201" s="75">
        <v>0</v>
      </c>
      <c r="O201" s="75">
        <v>0</v>
      </c>
      <c r="P201" s="87">
        <v>226352.8</v>
      </c>
      <c r="Q201" s="75">
        <v>0</v>
      </c>
      <c r="R201" s="75">
        <v>0</v>
      </c>
      <c r="S201" s="75">
        <v>0</v>
      </c>
      <c r="T201" s="75">
        <v>0</v>
      </c>
      <c r="U201" s="238"/>
      <c r="V201" s="238"/>
    </row>
    <row r="202" spans="1:35" s="23" customFormat="1" ht="23.45" customHeight="1" x14ac:dyDescent="0.25">
      <c r="A202" s="25">
        <v>190</v>
      </c>
      <c r="B202" s="34" t="s">
        <v>1045</v>
      </c>
      <c r="C202" s="75">
        <f t="shared" si="10"/>
        <v>235869.34</v>
      </c>
      <c r="D202" s="75">
        <f t="shared" si="9"/>
        <v>0</v>
      </c>
      <c r="E202" s="87">
        <v>0</v>
      </c>
      <c r="F202" s="75">
        <v>0</v>
      </c>
      <c r="G202" s="75">
        <v>0</v>
      </c>
      <c r="H202" s="87">
        <v>0</v>
      </c>
      <c r="I202" s="75">
        <v>0</v>
      </c>
      <c r="J202" s="152">
        <v>0</v>
      </c>
      <c r="K202" s="75">
        <v>0</v>
      </c>
      <c r="L202" s="87">
        <v>0</v>
      </c>
      <c r="M202" s="75">
        <v>0</v>
      </c>
      <c r="N202" s="75">
        <v>0</v>
      </c>
      <c r="O202" s="75">
        <v>0</v>
      </c>
      <c r="P202" s="87">
        <v>235869.34</v>
      </c>
      <c r="Q202" s="75">
        <v>0</v>
      </c>
      <c r="R202" s="75">
        <v>0</v>
      </c>
      <c r="S202" s="75">
        <v>0</v>
      </c>
      <c r="T202" s="75">
        <v>0</v>
      </c>
      <c r="U202" s="238"/>
      <c r="V202" s="238"/>
      <c r="W202" s="40"/>
      <c r="X202" s="40"/>
      <c r="Y202" s="40"/>
      <c r="Z202" s="40"/>
      <c r="AA202" s="40"/>
      <c r="AB202" s="40"/>
      <c r="AC202" s="40"/>
      <c r="AD202" s="40"/>
      <c r="AE202" s="40"/>
      <c r="AF202" s="40"/>
      <c r="AG202" s="40"/>
      <c r="AH202" s="40"/>
      <c r="AI202" s="40"/>
    </row>
    <row r="203" spans="1:35" s="23" customFormat="1" ht="23.45" customHeight="1" x14ac:dyDescent="0.25">
      <c r="A203" s="25">
        <v>191</v>
      </c>
      <c r="B203" s="34" t="s">
        <v>294</v>
      </c>
      <c r="C203" s="75">
        <f t="shared" si="10"/>
        <v>3392991.14</v>
      </c>
      <c r="D203" s="75">
        <f t="shared" ref="D203:D212" si="11">SUM(E203:I203)</f>
        <v>3392991.14</v>
      </c>
      <c r="E203" s="87">
        <v>3392991.14</v>
      </c>
      <c r="F203" s="75">
        <v>0</v>
      </c>
      <c r="G203" s="75">
        <v>0</v>
      </c>
      <c r="H203" s="87">
        <v>0</v>
      </c>
      <c r="I203" s="75">
        <v>0</v>
      </c>
      <c r="J203" s="152">
        <v>0</v>
      </c>
      <c r="K203" s="75">
        <v>0</v>
      </c>
      <c r="L203" s="75">
        <v>0</v>
      </c>
      <c r="M203" s="75">
        <v>0</v>
      </c>
      <c r="N203" s="75">
        <v>0</v>
      </c>
      <c r="O203" s="75">
        <v>0</v>
      </c>
      <c r="P203" s="75">
        <v>0</v>
      </c>
      <c r="Q203" s="75">
        <v>0</v>
      </c>
      <c r="R203" s="75">
        <v>0</v>
      </c>
      <c r="S203" s="75">
        <v>0</v>
      </c>
      <c r="T203" s="75">
        <v>0</v>
      </c>
      <c r="U203" s="238"/>
      <c r="V203" s="238"/>
    </row>
    <row r="204" spans="1:35" s="23" customFormat="1" ht="23.45" customHeight="1" x14ac:dyDescent="0.25">
      <c r="A204" s="25">
        <v>192</v>
      </c>
      <c r="B204" s="34" t="s">
        <v>295</v>
      </c>
      <c r="C204" s="75">
        <f t="shared" si="10"/>
        <v>9251607.1999999993</v>
      </c>
      <c r="D204" s="75">
        <f t="shared" si="11"/>
        <v>0</v>
      </c>
      <c r="E204" s="87">
        <v>0</v>
      </c>
      <c r="F204" s="75">
        <v>0</v>
      </c>
      <c r="G204" s="75">
        <v>0</v>
      </c>
      <c r="H204" s="87">
        <v>0</v>
      </c>
      <c r="I204" s="75">
        <v>0</v>
      </c>
      <c r="J204" s="152">
        <v>3</v>
      </c>
      <c r="K204" s="87">
        <v>9251607.1999999993</v>
      </c>
      <c r="L204" s="75">
        <v>0</v>
      </c>
      <c r="M204" s="75">
        <v>0</v>
      </c>
      <c r="N204" s="75">
        <v>0</v>
      </c>
      <c r="O204" s="75">
        <v>0</v>
      </c>
      <c r="P204" s="75">
        <v>0</v>
      </c>
      <c r="Q204" s="75">
        <v>0</v>
      </c>
      <c r="R204" s="75">
        <v>0</v>
      </c>
      <c r="S204" s="75">
        <v>0</v>
      </c>
      <c r="T204" s="75">
        <v>0</v>
      </c>
      <c r="U204" s="239"/>
      <c r="V204" s="239"/>
    </row>
    <row r="205" spans="1:35" s="44" customFormat="1" ht="23.45" customHeight="1" x14ac:dyDescent="0.25">
      <c r="A205" s="25">
        <v>193</v>
      </c>
      <c r="B205" s="39" t="s">
        <v>1046</v>
      </c>
      <c r="C205" s="75">
        <f t="shared" si="10"/>
        <v>741885.47</v>
      </c>
      <c r="D205" s="75">
        <f t="shared" si="11"/>
        <v>693698.99</v>
      </c>
      <c r="E205" s="87">
        <v>0</v>
      </c>
      <c r="F205" s="87">
        <v>0</v>
      </c>
      <c r="G205" s="87">
        <v>0</v>
      </c>
      <c r="H205" s="87">
        <v>243736.24</v>
      </c>
      <c r="I205" s="87">
        <v>449962.75</v>
      </c>
      <c r="J205" s="152">
        <v>0</v>
      </c>
      <c r="K205" s="75">
        <v>0</v>
      </c>
      <c r="L205" s="75">
        <v>0</v>
      </c>
      <c r="M205" s="75">
        <v>0</v>
      </c>
      <c r="N205" s="87">
        <v>0</v>
      </c>
      <c r="O205" s="75">
        <v>0</v>
      </c>
      <c r="P205" s="87">
        <v>48186.48</v>
      </c>
      <c r="Q205" s="75">
        <v>0</v>
      </c>
      <c r="R205" s="75">
        <v>0</v>
      </c>
      <c r="S205" s="75">
        <v>0</v>
      </c>
      <c r="T205" s="75">
        <v>0</v>
      </c>
      <c r="U205" s="239"/>
      <c r="V205" s="239"/>
    </row>
    <row r="206" spans="1:35" s="44" customFormat="1" ht="23.45" customHeight="1" x14ac:dyDescent="0.25">
      <c r="A206" s="25">
        <v>194</v>
      </c>
      <c r="B206" s="34" t="s">
        <v>1047</v>
      </c>
      <c r="C206" s="75">
        <f t="shared" si="10"/>
        <v>567598.57000000007</v>
      </c>
      <c r="D206" s="75">
        <f t="shared" si="11"/>
        <v>0</v>
      </c>
      <c r="E206" s="87">
        <v>0</v>
      </c>
      <c r="F206" s="87">
        <v>0</v>
      </c>
      <c r="G206" s="75">
        <v>0</v>
      </c>
      <c r="H206" s="87">
        <v>0</v>
      </c>
      <c r="I206" s="75">
        <v>0</v>
      </c>
      <c r="J206" s="152">
        <v>0</v>
      </c>
      <c r="K206" s="75">
        <v>0</v>
      </c>
      <c r="L206" s="75">
        <v>0</v>
      </c>
      <c r="M206" s="75">
        <v>0</v>
      </c>
      <c r="N206" s="87">
        <v>0</v>
      </c>
      <c r="O206" s="75">
        <v>0</v>
      </c>
      <c r="P206" s="87">
        <f>305174.8+262423.77</f>
        <v>567598.57000000007</v>
      </c>
      <c r="Q206" s="75">
        <v>0</v>
      </c>
      <c r="R206" s="75">
        <v>0</v>
      </c>
      <c r="S206" s="75">
        <v>0</v>
      </c>
      <c r="T206" s="75">
        <v>0</v>
      </c>
      <c r="U206" s="238"/>
      <c r="V206" s="238"/>
      <c r="W206" s="40"/>
      <c r="X206" s="40"/>
      <c r="Y206" s="40"/>
      <c r="Z206" s="40"/>
      <c r="AA206" s="40"/>
      <c r="AB206" s="40"/>
      <c r="AC206" s="40"/>
      <c r="AD206" s="40"/>
      <c r="AE206" s="40"/>
      <c r="AF206" s="40"/>
      <c r="AG206" s="40"/>
      <c r="AH206" s="40"/>
      <c r="AI206" s="40"/>
    </row>
    <row r="207" spans="1:35" s="44" customFormat="1" ht="23.45" customHeight="1" x14ac:dyDescent="0.25">
      <c r="A207" s="25">
        <v>195</v>
      </c>
      <c r="B207" s="34" t="s">
        <v>298</v>
      </c>
      <c r="C207" s="75">
        <f t="shared" si="10"/>
        <v>24062298</v>
      </c>
      <c r="D207" s="75">
        <f t="shared" si="11"/>
        <v>0</v>
      </c>
      <c r="E207" s="87">
        <v>0</v>
      </c>
      <c r="F207" s="75">
        <v>0</v>
      </c>
      <c r="G207" s="75">
        <v>0</v>
      </c>
      <c r="H207" s="87">
        <v>0</v>
      </c>
      <c r="I207" s="75">
        <v>0</v>
      </c>
      <c r="J207" s="152">
        <v>5</v>
      </c>
      <c r="K207" s="75">
        <v>24062298</v>
      </c>
      <c r="L207" s="75">
        <v>0</v>
      </c>
      <c r="M207" s="75">
        <v>0</v>
      </c>
      <c r="N207" s="75">
        <v>0</v>
      </c>
      <c r="O207" s="75">
        <v>0</v>
      </c>
      <c r="P207" s="75">
        <v>0</v>
      </c>
      <c r="Q207" s="75">
        <v>0</v>
      </c>
      <c r="R207" s="75">
        <v>0</v>
      </c>
      <c r="S207" s="87">
        <v>0</v>
      </c>
      <c r="T207" s="75">
        <v>0</v>
      </c>
      <c r="U207" s="238"/>
      <c r="V207" s="238"/>
    </row>
    <row r="208" spans="1:35" s="44" customFormat="1" ht="23.45" customHeight="1" x14ac:dyDescent="0.25">
      <c r="A208" s="25">
        <v>196</v>
      </c>
      <c r="B208" s="34" t="s">
        <v>1048</v>
      </c>
      <c r="C208" s="75">
        <f t="shared" si="10"/>
        <v>354289.51</v>
      </c>
      <c r="D208" s="75">
        <f t="shared" si="11"/>
        <v>0</v>
      </c>
      <c r="E208" s="87">
        <v>0</v>
      </c>
      <c r="F208" s="87">
        <v>0</v>
      </c>
      <c r="G208" s="87">
        <v>0</v>
      </c>
      <c r="H208" s="87">
        <v>0</v>
      </c>
      <c r="I208" s="75">
        <v>0</v>
      </c>
      <c r="J208" s="152">
        <v>0</v>
      </c>
      <c r="K208" s="75">
        <v>0</v>
      </c>
      <c r="L208" s="75">
        <v>0</v>
      </c>
      <c r="M208" s="75">
        <v>0</v>
      </c>
      <c r="N208" s="75">
        <v>0</v>
      </c>
      <c r="O208" s="75">
        <v>0</v>
      </c>
      <c r="P208" s="87">
        <v>354289.51</v>
      </c>
      <c r="Q208" s="75">
        <v>0</v>
      </c>
      <c r="R208" s="75">
        <v>0</v>
      </c>
      <c r="S208" s="75">
        <v>0</v>
      </c>
      <c r="T208" s="75">
        <v>0</v>
      </c>
      <c r="U208" s="238"/>
      <c r="V208" s="238"/>
    </row>
    <row r="209" spans="1:39" s="44" customFormat="1" ht="23.45" customHeight="1" x14ac:dyDescent="0.25">
      <c r="A209" s="25">
        <v>197</v>
      </c>
      <c r="B209" s="34" t="s">
        <v>300</v>
      </c>
      <c r="C209" s="75">
        <f t="shared" si="10"/>
        <v>2005555.68</v>
      </c>
      <c r="D209" s="75">
        <f t="shared" si="11"/>
        <v>0</v>
      </c>
      <c r="E209" s="87">
        <v>0</v>
      </c>
      <c r="F209" s="75">
        <v>0</v>
      </c>
      <c r="G209" s="75">
        <v>0</v>
      </c>
      <c r="H209" s="87">
        <v>0</v>
      </c>
      <c r="I209" s="75">
        <v>0</v>
      </c>
      <c r="J209" s="152">
        <v>0</v>
      </c>
      <c r="K209" s="75">
        <v>0</v>
      </c>
      <c r="L209" s="75">
        <v>2005555.68</v>
      </c>
      <c r="M209" s="75">
        <v>0</v>
      </c>
      <c r="N209" s="75">
        <v>0</v>
      </c>
      <c r="O209" s="75">
        <v>0</v>
      </c>
      <c r="P209" s="75">
        <v>0</v>
      </c>
      <c r="Q209" s="75">
        <v>0</v>
      </c>
      <c r="R209" s="75">
        <v>0</v>
      </c>
      <c r="S209" s="87">
        <v>0</v>
      </c>
      <c r="T209" s="75">
        <v>0</v>
      </c>
      <c r="U209" s="238"/>
      <c r="V209" s="238"/>
    </row>
    <row r="210" spans="1:39" s="44" customFormat="1" ht="23.45" customHeight="1" x14ac:dyDescent="0.25">
      <c r="A210" s="25">
        <v>198</v>
      </c>
      <c r="B210" s="34" t="s">
        <v>301</v>
      </c>
      <c r="C210" s="75">
        <f t="shared" si="10"/>
        <v>12311275.300000001</v>
      </c>
      <c r="D210" s="75">
        <f t="shared" si="11"/>
        <v>0</v>
      </c>
      <c r="E210" s="87">
        <v>0</v>
      </c>
      <c r="F210" s="75">
        <v>0</v>
      </c>
      <c r="G210" s="75">
        <v>0</v>
      </c>
      <c r="H210" s="87">
        <v>0</v>
      </c>
      <c r="I210" s="75">
        <v>0</v>
      </c>
      <c r="J210" s="152">
        <v>0</v>
      </c>
      <c r="K210" s="75">
        <v>0</v>
      </c>
      <c r="L210" s="75">
        <v>0</v>
      </c>
      <c r="M210" s="75">
        <v>0</v>
      </c>
      <c r="N210" s="75">
        <v>0</v>
      </c>
      <c r="O210" s="75">
        <v>0</v>
      </c>
      <c r="P210" s="75">
        <v>0</v>
      </c>
      <c r="Q210" s="75">
        <v>0</v>
      </c>
      <c r="R210" s="75">
        <v>0</v>
      </c>
      <c r="S210" s="87">
        <v>12311275.300000001</v>
      </c>
      <c r="T210" s="75">
        <v>0</v>
      </c>
      <c r="U210" s="238"/>
      <c r="V210" s="238"/>
    </row>
    <row r="211" spans="1:39" s="23" customFormat="1" ht="22.15" customHeight="1" x14ac:dyDescent="0.25">
      <c r="A211" s="25">
        <v>199</v>
      </c>
      <c r="B211" s="34" t="s">
        <v>1049</v>
      </c>
      <c r="C211" s="75">
        <f t="shared" si="10"/>
        <v>17406748.720000003</v>
      </c>
      <c r="D211" s="75">
        <f t="shared" si="11"/>
        <v>7534455.7199999997</v>
      </c>
      <c r="E211" s="87">
        <v>1983931.2</v>
      </c>
      <c r="F211" s="87">
        <v>5550524.5199999996</v>
      </c>
      <c r="G211" s="87">
        <v>0</v>
      </c>
      <c r="H211" s="87">
        <v>0</v>
      </c>
      <c r="I211" s="87">
        <v>0</v>
      </c>
      <c r="J211" s="152">
        <v>0</v>
      </c>
      <c r="K211" s="75">
        <v>0</v>
      </c>
      <c r="L211" s="75">
        <v>0</v>
      </c>
      <c r="M211" s="87">
        <v>0</v>
      </c>
      <c r="N211" s="87">
        <v>9341846.9000000004</v>
      </c>
      <c r="O211" s="75">
        <v>0</v>
      </c>
      <c r="P211" s="87">
        <v>530446.1</v>
      </c>
      <c r="Q211" s="75">
        <v>0</v>
      </c>
      <c r="R211" s="75">
        <v>0</v>
      </c>
      <c r="S211" s="87">
        <v>0</v>
      </c>
      <c r="T211" s="75">
        <v>0</v>
      </c>
      <c r="U211" s="239"/>
      <c r="V211" s="239"/>
    </row>
    <row r="212" spans="1:39" s="44" customFormat="1" ht="22.15" customHeight="1" x14ac:dyDescent="0.25">
      <c r="A212" s="25">
        <v>200</v>
      </c>
      <c r="B212" s="34" t="s">
        <v>1050</v>
      </c>
      <c r="C212" s="75">
        <f t="shared" si="10"/>
        <v>4304281.1100000003</v>
      </c>
      <c r="D212" s="75">
        <f t="shared" si="11"/>
        <v>3740527.96</v>
      </c>
      <c r="E212" s="87">
        <v>2539754.65</v>
      </c>
      <c r="F212" s="87">
        <v>0</v>
      </c>
      <c r="G212" s="87">
        <v>362920.29</v>
      </c>
      <c r="H212" s="87">
        <v>418477.54</v>
      </c>
      <c r="I212" s="87">
        <v>419375.48</v>
      </c>
      <c r="J212" s="152">
        <v>0</v>
      </c>
      <c r="K212" s="75">
        <v>0</v>
      </c>
      <c r="L212" s="75">
        <v>0</v>
      </c>
      <c r="M212" s="87">
        <v>0</v>
      </c>
      <c r="N212" s="87">
        <v>0</v>
      </c>
      <c r="O212" s="75">
        <v>0</v>
      </c>
      <c r="P212" s="87">
        <v>563753.15</v>
      </c>
      <c r="Q212" s="75">
        <v>0</v>
      </c>
      <c r="R212" s="75">
        <v>0</v>
      </c>
      <c r="S212" s="75">
        <v>0</v>
      </c>
      <c r="T212" s="75">
        <v>0</v>
      </c>
      <c r="U212" s="238"/>
      <c r="V212" s="238"/>
    </row>
    <row r="213" spans="1:39" s="44" customFormat="1" ht="22.15" customHeight="1" x14ac:dyDescent="0.25">
      <c r="A213" s="326" t="s">
        <v>304</v>
      </c>
      <c r="B213" s="326"/>
      <c r="C213" s="118">
        <f t="shared" ref="C213:T213" si="12">SUM(C214:C217)</f>
        <v>3857022.2100000004</v>
      </c>
      <c r="D213" s="118">
        <f t="shared" si="12"/>
        <v>3027138.43</v>
      </c>
      <c r="E213" s="118">
        <f t="shared" si="12"/>
        <v>539069.31000000006</v>
      </c>
      <c r="F213" s="118">
        <f t="shared" si="12"/>
        <v>2123768.7000000002</v>
      </c>
      <c r="G213" s="118">
        <f t="shared" si="12"/>
        <v>0</v>
      </c>
      <c r="H213" s="118">
        <f t="shared" si="12"/>
        <v>364300.42</v>
      </c>
      <c r="I213" s="118">
        <f t="shared" si="12"/>
        <v>0</v>
      </c>
      <c r="J213" s="119">
        <f t="shared" si="12"/>
        <v>0</v>
      </c>
      <c r="K213" s="118">
        <f t="shared" si="12"/>
        <v>0</v>
      </c>
      <c r="L213" s="118">
        <f t="shared" si="12"/>
        <v>0</v>
      </c>
      <c r="M213" s="118">
        <f t="shared" si="12"/>
        <v>631285.16</v>
      </c>
      <c r="N213" s="118">
        <f t="shared" si="12"/>
        <v>0</v>
      </c>
      <c r="O213" s="118">
        <f t="shared" si="12"/>
        <v>0</v>
      </c>
      <c r="P213" s="118">
        <f t="shared" si="12"/>
        <v>198598.62</v>
      </c>
      <c r="Q213" s="118">
        <f t="shared" si="12"/>
        <v>0</v>
      </c>
      <c r="R213" s="118">
        <f t="shared" si="12"/>
        <v>0</v>
      </c>
      <c r="S213" s="118">
        <f t="shared" si="12"/>
        <v>0</v>
      </c>
      <c r="T213" s="118">
        <f t="shared" si="12"/>
        <v>0</v>
      </c>
      <c r="U213" s="238"/>
      <c r="V213" s="238"/>
    </row>
    <row r="214" spans="1:39" s="44" customFormat="1" ht="22.15" customHeight="1" x14ac:dyDescent="0.25">
      <c r="A214" s="25">
        <v>1</v>
      </c>
      <c r="B214" s="37" t="s">
        <v>305</v>
      </c>
      <c r="C214" s="75">
        <f t="shared" ref="C214:C217" si="13">D214+K214+L214+M214+N214+O214+P214+Q214+R214+S214+T214</f>
        <v>539069.31000000006</v>
      </c>
      <c r="D214" s="75">
        <f t="shared" ref="D214:D217" si="14">SUM(E214:I214)</f>
        <v>539069.31000000006</v>
      </c>
      <c r="E214" s="75">
        <v>539069.31000000006</v>
      </c>
      <c r="F214" s="75">
        <v>0</v>
      </c>
      <c r="G214" s="75">
        <v>0</v>
      </c>
      <c r="H214" s="75">
        <v>0</v>
      </c>
      <c r="I214" s="75">
        <v>0</v>
      </c>
      <c r="J214" s="152">
        <v>0</v>
      </c>
      <c r="K214" s="75">
        <v>0</v>
      </c>
      <c r="L214" s="75">
        <v>0</v>
      </c>
      <c r="M214" s="75">
        <v>0</v>
      </c>
      <c r="N214" s="75">
        <v>0</v>
      </c>
      <c r="O214" s="75">
        <v>0</v>
      </c>
      <c r="P214" s="75">
        <v>0</v>
      </c>
      <c r="Q214" s="75">
        <v>0</v>
      </c>
      <c r="R214" s="251">
        <v>0</v>
      </c>
      <c r="S214" s="75">
        <v>0</v>
      </c>
      <c r="T214" s="75">
        <v>0</v>
      </c>
      <c r="U214" s="238"/>
      <c r="V214" s="238"/>
      <c r="W214" s="40"/>
      <c r="X214" s="40"/>
      <c r="Y214" s="40"/>
      <c r="Z214" s="40"/>
      <c r="AA214" s="40"/>
      <c r="AB214" s="40"/>
      <c r="AC214" s="40"/>
      <c r="AD214" s="40"/>
      <c r="AE214" s="40"/>
      <c r="AF214" s="40"/>
      <c r="AG214" s="40"/>
      <c r="AH214" s="40"/>
      <c r="AI214" s="40"/>
      <c r="AJ214" s="40"/>
      <c r="AK214" s="40"/>
      <c r="AL214" s="40"/>
      <c r="AM214" s="40"/>
    </row>
    <row r="215" spans="1:39" s="44" customFormat="1" ht="22.15" customHeight="1" x14ac:dyDescent="0.25">
      <c r="A215" s="25">
        <v>2</v>
      </c>
      <c r="B215" s="37" t="s">
        <v>306</v>
      </c>
      <c r="C215" s="75">
        <f t="shared" si="13"/>
        <v>631285.16</v>
      </c>
      <c r="D215" s="75">
        <f t="shared" si="14"/>
        <v>0</v>
      </c>
      <c r="E215" s="75">
        <v>0</v>
      </c>
      <c r="F215" s="75">
        <v>0</v>
      </c>
      <c r="G215" s="75">
        <v>0</v>
      </c>
      <c r="H215" s="75">
        <v>0</v>
      </c>
      <c r="I215" s="75">
        <v>0</v>
      </c>
      <c r="J215" s="152">
        <v>0</v>
      </c>
      <c r="K215" s="75">
        <v>0</v>
      </c>
      <c r="L215" s="75">
        <v>0</v>
      </c>
      <c r="M215" s="75">
        <v>631285.16</v>
      </c>
      <c r="N215" s="75">
        <v>0</v>
      </c>
      <c r="O215" s="75">
        <v>0</v>
      </c>
      <c r="P215" s="75">
        <v>0</v>
      </c>
      <c r="Q215" s="75">
        <v>0</v>
      </c>
      <c r="R215" s="75">
        <v>0</v>
      </c>
      <c r="S215" s="75">
        <v>0</v>
      </c>
      <c r="T215" s="75">
        <v>0</v>
      </c>
      <c r="U215" s="238"/>
      <c r="V215" s="238"/>
    </row>
    <row r="216" spans="1:39" s="44" customFormat="1" ht="22.15" customHeight="1" x14ac:dyDescent="0.25">
      <c r="A216" s="25">
        <v>3</v>
      </c>
      <c r="B216" s="37" t="s">
        <v>307</v>
      </c>
      <c r="C216" s="75">
        <f t="shared" si="13"/>
        <v>364300.42</v>
      </c>
      <c r="D216" s="75">
        <f t="shared" si="14"/>
        <v>364300.42</v>
      </c>
      <c r="E216" s="75">
        <v>0</v>
      </c>
      <c r="F216" s="75">
        <v>0</v>
      </c>
      <c r="G216" s="75">
        <v>0</v>
      </c>
      <c r="H216" s="75">
        <v>364300.42</v>
      </c>
      <c r="I216" s="75">
        <v>0</v>
      </c>
      <c r="J216" s="152">
        <v>0</v>
      </c>
      <c r="K216" s="75">
        <v>0</v>
      </c>
      <c r="L216" s="75">
        <v>0</v>
      </c>
      <c r="M216" s="75">
        <v>0</v>
      </c>
      <c r="N216" s="75">
        <v>0</v>
      </c>
      <c r="O216" s="75">
        <v>0</v>
      </c>
      <c r="P216" s="75">
        <v>0</v>
      </c>
      <c r="Q216" s="75">
        <v>0</v>
      </c>
      <c r="R216" s="75">
        <v>0</v>
      </c>
      <c r="S216" s="75">
        <v>0</v>
      </c>
      <c r="T216" s="75">
        <v>0</v>
      </c>
      <c r="U216" s="238"/>
      <c r="V216" s="238"/>
    </row>
    <row r="217" spans="1:39" s="186" customFormat="1" ht="24" customHeight="1" x14ac:dyDescent="0.25">
      <c r="A217" s="25">
        <v>4</v>
      </c>
      <c r="B217" s="38" t="s">
        <v>1051</v>
      </c>
      <c r="C217" s="75">
        <f t="shared" si="13"/>
        <v>2322367.3200000003</v>
      </c>
      <c r="D217" s="75">
        <f t="shared" si="14"/>
        <v>2123768.7000000002</v>
      </c>
      <c r="E217" s="75">
        <v>0</v>
      </c>
      <c r="F217" s="75">
        <v>2123768.7000000002</v>
      </c>
      <c r="G217" s="75">
        <v>0</v>
      </c>
      <c r="H217" s="75">
        <v>0</v>
      </c>
      <c r="I217" s="75">
        <v>0</v>
      </c>
      <c r="J217" s="152">
        <v>0</v>
      </c>
      <c r="K217" s="75">
        <v>0</v>
      </c>
      <c r="L217" s="75">
        <v>0</v>
      </c>
      <c r="M217" s="75">
        <v>0</v>
      </c>
      <c r="N217" s="75">
        <v>0</v>
      </c>
      <c r="O217" s="75">
        <v>0</v>
      </c>
      <c r="P217" s="75">
        <v>198598.62</v>
      </c>
      <c r="Q217" s="75">
        <v>0</v>
      </c>
      <c r="R217" s="75">
        <v>0</v>
      </c>
      <c r="S217" s="75">
        <v>0</v>
      </c>
      <c r="T217" s="75">
        <v>0</v>
      </c>
      <c r="U217" s="239"/>
      <c r="V217" s="239"/>
    </row>
    <row r="218" spans="1:39" s="186" customFormat="1" ht="24" customHeight="1" x14ac:dyDescent="0.25">
      <c r="A218" s="322" t="s">
        <v>309</v>
      </c>
      <c r="B218" s="322"/>
      <c r="C218" s="118">
        <f t="shared" ref="C218:T218" si="15">SUM(C219:C226)</f>
        <v>7365317.75</v>
      </c>
      <c r="D218" s="118">
        <f t="shared" si="15"/>
        <v>6072715.6699999999</v>
      </c>
      <c r="E218" s="118">
        <f t="shared" si="15"/>
        <v>0</v>
      </c>
      <c r="F218" s="118">
        <f t="shared" si="15"/>
        <v>0</v>
      </c>
      <c r="G218" s="118">
        <f t="shared" si="15"/>
        <v>0</v>
      </c>
      <c r="H218" s="118">
        <f t="shared" si="15"/>
        <v>4451660.53</v>
      </c>
      <c r="I218" s="118">
        <f t="shared" si="15"/>
        <v>1621055.1400000001</v>
      </c>
      <c r="J218" s="119">
        <f t="shared" si="15"/>
        <v>0</v>
      </c>
      <c r="K218" s="118">
        <f t="shared" si="15"/>
        <v>0</v>
      </c>
      <c r="L218" s="118">
        <f t="shared" si="15"/>
        <v>0</v>
      </c>
      <c r="M218" s="118">
        <f t="shared" si="15"/>
        <v>0</v>
      </c>
      <c r="N218" s="118">
        <f t="shared" si="15"/>
        <v>0</v>
      </c>
      <c r="O218" s="118">
        <f t="shared" si="15"/>
        <v>0</v>
      </c>
      <c r="P218" s="118">
        <f t="shared" si="15"/>
        <v>1292602.08</v>
      </c>
      <c r="Q218" s="118">
        <f t="shared" si="15"/>
        <v>0</v>
      </c>
      <c r="R218" s="118">
        <f t="shared" si="15"/>
        <v>0</v>
      </c>
      <c r="S218" s="118">
        <f t="shared" si="15"/>
        <v>0</v>
      </c>
      <c r="T218" s="118">
        <f t="shared" si="15"/>
        <v>0</v>
      </c>
      <c r="U218" s="238"/>
      <c r="V218" s="238"/>
    </row>
    <row r="219" spans="1:39" s="186" customFormat="1" ht="24" customHeight="1" x14ac:dyDescent="0.25">
      <c r="A219" s="25">
        <v>1</v>
      </c>
      <c r="B219" s="37" t="s">
        <v>310</v>
      </c>
      <c r="C219" s="75">
        <f t="shared" ref="C219:C226" si="16">D219+K219+L219+M219+N219+O219+P219+Q219+R219+S219+T219</f>
        <v>1411852.8</v>
      </c>
      <c r="D219" s="75">
        <f t="shared" ref="D219:D226" si="17">SUM(E219:I219)</f>
        <v>1411852.8</v>
      </c>
      <c r="E219" s="87">
        <v>0</v>
      </c>
      <c r="F219" s="75">
        <v>0</v>
      </c>
      <c r="G219" s="87">
        <v>0</v>
      </c>
      <c r="H219" s="87">
        <v>630786</v>
      </c>
      <c r="I219" s="87">
        <v>781066.8</v>
      </c>
      <c r="J219" s="152">
        <v>0</v>
      </c>
      <c r="K219" s="87">
        <v>0</v>
      </c>
      <c r="L219" s="75">
        <v>0</v>
      </c>
      <c r="M219" s="75">
        <v>0</v>
      </c>
      <c r="N219" s="75">
        <v>0</v>
      </c>
      <c r="O219" s="87">
        <v>0</v>
      </c>
      <c r="P219" s="75">
        <v>0</v>
      </c>
      <c r="Q219" s="87">
        <v>0</v>
      </c>
      <c r="R219" s="75">
        <v>0</v>
      </c>
      <c r="S219" s="87">
        <v>0</v>
      </c>
      <c r="T219" s="75">
        <v>0</v>
      </c>
      <c r="U219" s="238"/>
      <c r="V219" s="238"/>
    </row>
    <row r="220" spans="1:39" s="44" customFormat="1" ht="25.9" customHeight="1" x14ac:dyDescent="0.25">
      <c r="A220" s="25">
        <v>2</v>
      </c>
      <c r="B220" s="37" t="s">
        <v>311</v>
      </c>
      <c r="C220" s="75">
        <f t="shared" si="16"/>
        <v>735913.2</v>
      </c>
      <c r="D220" s="75">
        <f t="shared" si="17"/>
        <v>735913.2</v>
      </c>
      <c r="E220" s="87">
        <v>0</v>
      </c>
      <c r="F220" s="75">
        <v>0</v>
      </c>
      <c r="G220" s="75">
        <v>0</v>
      </c>
      <c r="H220" s="87">
        <v>735913.2</v>
      </c>
      <c r="I220" s="75">
        <v>0</v>
      </c>
      <c r="J220" s="152">
        <v>0</v>
      </c>
      <c r="K220" s="75">
        <v>0</v>
      </c>
      <c r="L220" s="75">
        <v>0</v>
      </c>
      <c r="M220" s="75">
        <v>0</v>
      </c>
      <c r="N220" s="75">
        <v>0</v>
      </c>
      <c r="O220" s="75">
        <v>0</v>
      </c>
      <c r="P220" s="75">
        <v>0</v>
      </c>
      <c r="Q220" s="75">
        <v>0</v>
      </c>
      <c r="R220" s="75">
        <v>0</v>
      </c>
      <c r="S220" s="75">
        <v>0</v>
      </c>
      <c r="T220" s="75">
        <v>0</v>
      </c>
      <c r="U220" s="239"/>
      <c r="V220" s="239"/>
    </row>
    <row r="221" spans="1:39" s="44" customFormat="1" ht="25.9" customHeight="1" x14ac:dyDescent="0.25">
      <c r="A221" s="25">
        <v>3</v>
      </c>
      <c r="B221" s="37" t="s">
        <v>1052</v>
      </c>
      <c r="C221" s="75">
        <f t="shared" si="16"/>
        <v>1435542.7</v>
      </c>
      <c r="D221" s="75">
        <f t="shared" si="17"/>
        <v>709514.51</v>
      </c>
      <c r="E221" s="87">
        <v>0</v>
      </c>
      <c r="F221" s="87">
        <v>0</v>
      </c>
      <c r="G221" s="87">
        <v>0</v>
      </c>
      <c r="H221" s="87">
        <v>303081.24</v>
      </c>
      <c r="I221" s="87">
        <v>406433.27</v>
      </c>
      <c r="J221" s="152">
        <v>0</v>
      </c>
      <c r="K221" s="75">
        <v>0</v>
      </c>
      <c r="L221" s="75">
        <v>0</v>
      </c>
      <c r="M221" s="75">
        <v>0</v>
      </c>
      <c r="N221" s="75">
        <v>0</v>
      </c>
      <c r="O221" s="75">
        <v>0</v>
      </c>
      <c r="P221" s="87">
        <v>726028.19</v>
      </c>
      <c r="Q221" s="75">
        <v>0</v>
      </c>
      <c r="R221" s="75">
        <v>0</v>
      </c>
      <c r="S221" s="75">
        <v>0</v>
      </c>
      <c r="T221" s="75">
        <v>0</v>
      </c>
      <c r="U221" s="239"/>
      <c r="V221" s="239"/>
    </row>
    <row r="222" spans="1:39" s="44" customFormat="1" ht="25.9" customHeight="1" x14ac:dyDescent="0.25">
      <c r="A222" s="25">
        <v>4</v>
      </c>
      <c r="B222" s="37" t="s">
        <v>1053</v>
      </c>
      <c r="C222" s="75">
        <f t="shared" si="16"/>
        <v>1309798.56</v>
      </c>
      <c r="D222" s="75">
        <f t="shared" si="17"/>
        <v>743224.66999999993</v>
      </c>
      <c r="E222" s="87">
        <v>0</v>
      </c>
      <c r="F222" s="75">
        <v>0</v>
      </c>
      <c r="G222" s="87">
        <v>0</v>
      </c>
      <c r="H222" s="87">
        <v>309669.59999999998</v>
      </c>
      <c r="I222" s="87">
        <v>433555.07</v>
      </c>
      <c r="J222" s="152">
        <v>0</v>
      </c>
      <c r="K222" s="75">
        <v>0</v>
      </c>
      <c r="L222" s="75">
        <v>0</v>
      </c>
      <c r="M222" s="75">
        <v>0</v>
      </c>
      <c r="N222" s="75">
        <v>0</v>
      </c>
      <c r="O222" s="75">
        <v>0</v>
      </c>
      <c r="P222" s="87">
        <v>566573.89</v>
      </c>
      <c r="Q222" s="75">
        <v>0</v>
      </c>
      <c r="R222" s="75">
        <v>0</v>
      </c>
      <c r="S222" s="75">
        <v>0</v>
      </c>
      <c r="T222" s="75">
        <v>0</v>
      </c>
      <c r="U222" s="239"/>
      <c r="V222" s="239"/>
    </row>
    <row r="223" spans="1:39" s="186" customFormat="1" ht="24" customHeight="1" x14ac:dyDescent="0.25">
      <c r="A223" s="25">
        <v>5</v>
      </c>
      <c r="B223" s="37" t="s">
        <v>314</v>
      </c>
      <c r="C223" s="75">
        <f t="shared" si="16"/>
        <v>537451.19999999995</v>
      </c>
      <c r="D223" s="75">
        <f t="shared" si="17"/>
        <v>537451.19999999995</v>
      </c>
      <c r="E223" s="87">
        <v>0</v>
      </c>
      <c r="F223" s="75">
        <v>0</v>
      </c>
      <c r="G223" s="75">
        <v>0</v>
      </c>
      <c r="H223" s="87">
        <v>537451.19999999995</v>
      </c>
      <c r="I223" s="75">
        <v>0</v>
      </c>
      <c r="J223" s="152">
        <v>0</v>
      </c>
      <c r="K223" s="75">
        <v>0</v>
      </c>
      <c r="L223" s="75">
        <v>0</v>
      </c>
      <c r="M223" s="75">
        <v>0</v>
      </c>
      <c r="N223" s="75">
        <v>0</v>
      </c>
      <c r="O223" s="75">
        <v>0</v>
      </c>
      <c r="P223" s="75">
        <v>0</v>
      </c>
      <c r="Q223" s="75">
        <v>0</v>
      </c>
      <c r="R223" s="75">
        <v>0</v>
      </c>
      <c r="S223" s="75">
        <v>0</v>
      </c>
      <c r="T223" s="75">
        <v>0</v>
      </c>
      <c r="U223" s="239"/>
      <c r="V223" s="239"/>
    </row>
    <row r="224" spans="1:39" s="186" customFormat="1" ht="24" customHeight="1" x14ac:dyDescent="0.25">
      <c r="A224" s="25">
        <v>6</v>
      </c>
      <c r="B224" s="37" t="s">
        <v>315</v>
      </c>
      <c r="C224" s="75">
        <f t="shared" si="16"/>
        <v>534284.4</v>
      </c>
      <c r="D224" s="75">
        <f t="shared" si="17"/>
        <v>534284.4</v>
      </c>
      <c r="E224" s="75">
        <v>0</v>
      </c>
      <c r="F224" s="75">
        <v>0</v>
      </c>
      <c r="G224" s="75">
        <v>0</v>
      </c>
      <c r="H224" s="87">
        <v>534284.4</v>
      </c>
      <c r="I224" s="75">
        <v>0</v>
      </c>
      <c r="J224" s="152">
        <v>0</v>
      </c>
      <c r="K224" s="75">
        <v>0</v>
      </c>
      <c r="L224" s="75">
        <v>0</v>
      </c>
      <c r="M224" s="87">
        <v>0</v>
      </c>
      <c r="N224" s="75">
        <v>0</v>
      </c>
      <c r="O224" s="75">
        <v>0</v>
      </c>
      <c r="P224" s="75">
        <v>0</v>
      </c>
      <c r="Q224" s="75">
        <v>0</v>
      </c>
      <c r="R224" s="75">
        <v>0</v>
      </c>
      <c r="S224" s="75">
        <v>0</v>
      </c>
      <c r="T224" s="75">
        <v>0</v>
      </c>
      <c r="U224" s="239"/>
      <c r="V224" s="239"/>
    </row>
    <row r="225" spans="1:35" s="186" customFormat="1" ht="24" customHeight="1" x14ac:dyDescent="0.25">
      <c r="A225" s="25">
        <v>7</v>
      </c>
      <c r="B225" s="37" t="s">
        <v>316</v>
      </c>
      <c r="C225" s="75">
        <f t="shared" si="16"/>
        <v>1006030.09</v>
      </c>
      <c r="D225" s="75">
        <f t="shared" si="17"/>
        <v>1006030.09</v>
      </c>
      <c r="E225" s="87">
        <v>0</v>
      </c>
      <c r="F225" s="75">
        <v>0</v>
      </c>
      <c r="G225" s="87">
        <v>0</v>
      </c>
      <c r="H225" s="87">
        <v>1006030.09</v>
      </c>
      <c r="I225" s="87">
        <v>0</v>
      </c>
      <c r="J225" s="152">
        <v>0</v>
      </c>
      <c r="K225" s="87">
        <v>0</v>
      </c>
      <c r="L225" s="75">
        <v>0</v>
      </c>
      <c r="M225" s="75">
        <v>0</v>
      </c>
      <c r="N225" s="75">
        <v>0</v>
      </c>
      <c r="O225" s="87">
        <v>0</v>
      </c>
      <c r="P225" s="75">
        <v>0</v>
      </c>
      <c r="Q225" s="87">
        <v>0</v>
      </c>
      <c r="R225" s="75">
        <v>0</v>
      </c>
      <c r="S225" s="87">
        <v>0</v>
      </c>
      <c r="T225" s="75">
        <v>0</v>
      </c>
      <c r="U225" s="238"/>
      <c r="V225" s="238"/>
    </row>
    <row r="226" spans="1:35" s="186" customFormat="1" ht="24" customHeight="1" x14ac:dyDescent="0.25">
      <c r="A226" s="25">
        <v>8</v>
      </c>
      <c r="B226" s="37" t="s">
        <v>317</v>
      </c>
      <c r="C226" s="75">
        <f t="shared" si="16"/>
        <v>394444.79999999999</v>
      </c>
      <c r="D226" s="75">
        <f t="shared" si="17"/>
        <v>394444.79999999999</v>
      </c>
      <c r="E226" s="87">
        <v>0</v>
      </c>
      <c r="F226" s="75">
        <v>0</v>
      </c>
      <c r="G226" s="87">
        <v>0</v>
      </c>
      <c r="H226" s="87">
        <v>394444.79999999999</v>
      </c>
      <c r="I226" s="87">
        <v>0</v>
      </c>
      <c r="J226" s="152">
        <v>0</v>
      </c>
      <c r="K226" s="87">
        <v>0</v>
      </c>
      <c r="L226" s="75">
        <v>0</v>
      </c>
      <c r="M226" s="75">
        <v>0</v>
      </c>
      <c r="N226" s="75">
        <v>0</v>
      </c>
      <c r="O226" s="87">
        <v>0</v>
      </c>
      <c r="P226" s="75">
        <v>0</v>
      </c>
      <c r="Q226" s="87">
        <v>0</v>
      </c>
      <c r="R226" s="75">
        <v>0</v>
      </c>
      <c r="S226" s="87">
        <v>0</v>
      </c>
      <c r="T226" s="75">
        <v>0</v>
      </c>
      <c r="U226" s="238"/>
      <c r="V226" s="238"/>
    </row>
    <row r="227" spans="1:35" s="186" customFormat="1" ht="24" customHeight="1" x14ac:dyDescent="0.25">
      <c r="A227" s="322" t="s">
        <v>318</v>
      </c>
      <c r="B227" s="322"/>
      <c r="C227" s="118">
        <f t="shared" ref="C227:T227" si="18">SUM(C228:C233)</f>
        <v>9120712.9400000013</v>
      </c>
      <c r="D227" s="118">
        <f t="shared" si="18"/>
        <v>515674.46</v>
      </c>
      <c r="E227" s="118">
        <f t="shared" si="18"/>
        <v>0</v>
      </c>
      <c r="F227" s="118">
        <f t="shared" si="18"/>
        <v>0</v>
      </c>
      <c r="G227" s="118">
        <f t="shared" si="18"/>
        <v>0</v>
      </c>
      <c r="H227" s="118">
        <f t="shared" si="18"/>
        <v>0</v>
      </c>
      <c r="I227" s="118">
        <f t="shared" si="18"/>
        <v>515674.46</v>
      </c>
      <c r="J227" s="119">
        <f t="shared" si="18"/>
        <v>0</v>
      </c>
      <c r="K227" s="118">
        <f t="shared" si="18"/>
        <v>0</v>
      </c>
      <c r="L227" s="118">
        <f t="shared" si="18"/>
        <v>7710266.8200000003</v>
      </c>
      <c r="M227" s="118">
        <f t="shared" si="18"/>
        <v>0</v>
      </c>
      <c r="N227" s="118">
        <f t="shared" si="18"/>
        <v>0</v>
      </c>
      <c r="O227" s="118">
        <f t="shared" si="18"/>
        <v>0</v>
      </c>
      <c r="P227" s="118">
        <f t="shared" si="18"/>
        <v>894771.66</v>
      </c>
      <c r="Q227" s="118">
        <f t="shared" si="18"/>
        <v>0</v>
      </c>
      <c r="R227" s="118">
        <f t="shared" si="18"/>
        <v>0</v>
      </c>
      <c r="S227" s="118">
        <f t="shared" si="18"/>
        <v>0</v>
      </c>
      <c r="T227" s="118">
        <f t="shared" si="18"/>
        <v>0</v>
      </c>
      <c r="U227" s="252"/>
      <c r="V227" s="252"/>
    </row>
    <row r="228" spans="1:35" s="186" customFormat="1" ht="24" customHeight="1" x14ac:dyDescent="0.25">
      <c r="A228" s="25">
        <v>1</v>
      </c>
      <c r="B228" s="37" t="s">
        <v>1054</v>
      </c>
      <c r="C228" s="75">
        <f t="shared" ref="C228:C233" si="19">D228+K228+L228+M228+N228+O228+P228+Q228+R228+S228+T228</f>
        <v>3306912.45</v>
      </c>
      <c r="D228" s="75">
        <f t="shared" ref="D228:D233" si="20">SUM(E228:I228)</f>
        <v>0</v>
      </c>
      <c r="E228" s="75">
        <v>0</v>
      </c>
      <c r="F228" s="75">
        <v>0</v>
      </c>
      <c r="G228" s="75">
        <v>0</v>
      </c>
      <c r="H228" s="75">
        <v>0</v>
      </c>
      <c r="I228" s="75">
        <v>0</v>
      </c>
      <c r="J228" s="152">
        <v>0</v>
      </c>
      <c r="K228" s="75">
        <v>0</v>
      </c>
      <c r="L228" s="87">
        <v>3148157.98</v>
      </c>
      <c r="M228" s="75">
        <v>0</v>
      </c>
      <c r="N228" s="75">
        <v>0</v>
      </c>
      <c r="O228" s="75">
        <v>0</v>
      </c>
      <c r="P228" s="87">
        <v>158754.47</v>
      </c>
      <c r="Q228" s="75">
        <v>0</v>
      </c>
      <c r="R228" s="75">
        <v>0</v>
      </c>
      <c r="S228" s="75">
        <v>0</v>
      </c>
      <c r="T228" s="75">
        <v>0</v>
      </c>
      <c r="U228" s="253"/>
      <c r="V228" s="253"/>
    </row>
    <row r="229" spans="1:35" s="186" customFormat="1" ht="24" customHeight="1" x14ac:dyDescent="0.25">
      <c r="A229" s="25">
        <v>2</v>
      </c>
      <c r="B229" s="37" t="s">
        <v>1055</v>
      </c>
      <c r="C229" s="75">
        <f t="shared" si="19"/>
        <v>2537814.96</v>
      </c>
      <c r="D229" s="75">
        <f t="shared" si="20"/>
        <v>0</v>
      </c>
      <c r="E229" s="75">
        <v>0</v>
      </c>
      <c r="F229" s="75">
        <v>0</v>
      </c>
      <c r="G229" s="75">
        <v>0</v>
      </c>
      <c r="H229" s="75">
        <v>0</v>
      </c>
      <c r="I229" s="75">
        <v>0</v>
      </c>
      <c r="J229" s="152">
        <v>0</v>
      </c>
      <c r="K229" s="75">
        <v>0</v>
      </c>
      <c r="L229" s="87">
        <v>2358988.66</v>
      </c>
      <c r="M229" s="87">
        <v>0</v>
      </c>
      <c r="N229" s="87">
        <v>0</v>
      </c>
      <c r="O229" s="87">
        <v>0</v>
      </c>
      <c r="P229" s="87">
        <v>178826.3</v>
      </c>
      <c r="Q229" s="87">
        <v>0</v>
      </c>
      <c r="R229" s="87">
        <v>0</v>
      </c>
      <c r="S229" s="87">
        <v>0</v>
      </c>
      <c r="T229" s="87">
        <v>0</v>
      </c>
      <c r="U229" s="253"/>
      <c r="V229" s="253"/>
    </row>
    <row r="230" spans="1:35" s="186" customFormat="1" ht="24" customHeight="1" x14ac:dyDescent="0.25">
      <c r="A230" s="25">
        <v>3</v>
      </c>
      <c r="B230" s="37" t="s">
        <v>1056</v>
      </c>
      <c r="C230" s="75">
        <f t="shared" si="19"/>
        <v>602749.24</v>
      </c>
      <c r="D230" s="75">
        <f t="shared" si="20"/>
        <v>409634.46</v>
      </c>
      <c r="E230" s="75">
        <v>0</v>
      </c>
      <c r="F230" s="75">
        <v>0</v>
      </c>
      <c r="G230" s="75">
        <v>0</v>
      </c>
      <c r="H230" s="75">
        <v>0</v>
      </c>
      <c r="I230" s="87">
        <v>409634.46</v>
      </c>
      <c r="J230" s="152">
        <v>0</v>
      </c>
      <c r="K230" s="75">
        <v>0</v>
      </c>
      <c r="L230" s="75">
        <v>0</v>
      </c>
      <c r="M230" s="75">
        <v>0</v>
      </c>
      <c r="N230" s="75">
        <v>0</v>
      </c>
      <c r="O230" s="75">
        <v>0</v>
      </c>
      <c r="P230" s="87">
        <v>193114.78</v>
      </c>
      <c r="Q230" s="75">
        <v>0</v>
      </c>
      <c r="R230" s="75">
        <v>0</v>
      </c>
      <c r="S230" s="75">
        <v>0</v>
      </c>
      <c r="T230" s="75">
        <v>0</v>
      </c>
      <c r="U230" s="253"/>
      <c r="V230" s="253"/>
    </row>
    <row r="231" spans="1:35" s="186" customFormat="1" ht="24" customHeight="1" x14ac:dyDescent="0.25">
      <c r="A231" s="25">
        <v>4</v>
      </c>
      <c r="B231" s="37" t="s">
        <v>1057</v>
      </c>
      <c r="C231" s="75">
        <f t="shared" si="19"/>
        <v>2349399.0700000003</v>
      </c>
      <c r="D231" s="75">
        <f t="shared" si="20"/>
        <v>0</v>
      </c>
      <c r="E231" s="75">
        <v>0</v>
      </c>
      <c r="F231" s="75">
        <v>0</v>
      </c>
      <c r="G231" s="75">
        <v>0</v>
      </c>
      <c r="H231" s="75">
        <v>0</v>
      </c>
      <c r="I231" s="75">
        <v>0</v>
      </c>
      <c r="J231" s="152">
        <v>0</v>
      </c>
      <c r="K231" s="75">
        <v>0</v>
      </c>
      <c r="L231" s="75">
        <v>2203120.1800000002</v>
      </c>
      <c r="M231" s="75">
        <v>0</v>
      </c>
      <c r="N231" s="75">
        <v>0</v>
      </c>
      <c r="O231" s="75">
        <v>0</v>
      </c>
      <c r="P231" s="87">
        <v>146278.89000000001</v>
      </c>
      <c r="Q231" s="75">
        <v>0</v>
      </c>
      <c r="R231" s="75">
        <v>0</v>
      </c>
      <c r="S231" s="75">
        <v>0</v>
      </c>
      <c r="T231" s="75">
        <v>0</v>
      </c>
      <c r="U231" s="253"/>
      <c r="V231" s="253"/>
    </row>
    <row r="232" spans="1:35" s="186" customFormat="1" ht="24" customHeight="1" x14ac:dyDescent="0.25">
      <c r="A232" s="25">
        <v>5</v>
      </c>
      <c r="B232" s="37" t="s">
        <v>1058</v>
      </c>
      <c r="C232" s="75">
        <f t="shared" si="19"/>
        <v>217797.22</v>
      </c>
      <c r="D232" s="75">
        <f t="shared" si="20"/>
        <v>0</v>
      </c>
      <c r="E232" s="75">
        <v>0</v>
      </c>
      <c r="F232" s="75">
        <v>0</v>
      </c>
      <c r="G232" s="75">
        <v>0</v>
      </c>
      <c r="H232" s="75">
        <v>0</v>
      </c>
      <c r="I232" s="75">
        <v>0</v>
      </c>
      <c r="J232" s="152">
        <v>0</v>
      </c>
      <c r="K232" s="75">
        <v>0</v>
      </c>
      <c r="L232" s="75">
        <v>0</v>
      </c>
      <c r="M232" s="75">
        <v>0</v>
      </c>
      <c r="N232" s="75">
        <v>0</v>
      </c>
      <c r="O232" s="75">
        <v>0</v>
      </c>
      <c r="P232" s="75">
        <v>217797.22</v>
      </c>
      <c r="Q232" s="75">
        <v>0</v>
      </c>
      <c r="R232" s="75">
        <v>0</v>
      </c>
      <c r="S232" s="75">
        <v>0</v>
      </c>
      <c r="T232" s="75">
        <v>0</v>
      </c>
      <c r="U232" s="253"/>
      <c r="V232" s="253"/>
      <c r="W232" s="23"/>
      <c r="X232" s="23"/>
      <c r="Y232" s="23"/>
      <c r="Z232" s="23"/>
      <c r="AA232" s="23"/>
      <c r="AB232" s="23"/>
      <c r="AC232" s="23"/>
      <c r="AD232" s="23"/>
      <c r="AE232" s="23"/>
      <c r="AF232" s="23"/>
      <c r="AG232" s="23"/>
      <c r="AH232" s="23"/>
      <c r="AI232" s="23"/>
    </row>
    <row r="233" spans="1:35" s="186" customFormat="1" ht="24" customHeight="1" x14ac:dyDescent="0.25">
      <c r="A233" s="25">
        <v>6</v>
      </c>
      <c r="B233" s="37" t="s">
        <v>325</v>
      </c>
      <c r="C233" s="75">
        <f t="shared" si="19"/>
        <v>106040</v>
      </c>
      <c r="D233" s="75">
        <f t="shared" si="20"/>
        <v>106040</v>
      </c>
      <c r="E233" s="75">
        <v>0</v>
      </c>
      <c r="F233" s="75">
        <v>0</v>
      </c>
      <c r="G233" s="75">
        <v>0</v>
      </c>
      <c r="H233" s="75">
        <v>0</v>
      </c>
      <c r="I233" s="75">
        <v>106040</v>
      </c>
      <c r="J233" s="152">
        <v>0</v>
      </c>
      <c r="K233" s="75">
        <v>0</v>
      </c>
      <c r="L233" s="75">
        <v>0</v>
      </c>
      <c r="M233" s="75">
        <v>0</v>
      </c>
      <c r="N233" s="75">
        <v>0</v>
      </c>
      <c r="O233" s="75">
        <v>0</v>
      </c>
      <c r="P233" s="75">
        <v>0</v>
      </c>
      <c r="Q233" s="75">
        <v>0</v>
      </c>
      <c r="R233" s="75">
        <v>0</v>
      </c>
      <c r="S233" s="75">
        <v>0</v>
      </c>
      <c r="T233" s="75">
        <v>0</v>
      </c>
      <c r="U233" s="253"/>
      <c r="V233" s="253"/>
      <c r="W233" s="23"/>
      <c r="X233" s="23"/>
      <c r="Y233" s="23"/>
      <c r="Z233" s="23"/>
      <c r="AA233" s="23"/>
      <c r="AB233" s="23"/>
      <c r="AC233" s="23"/>
      <c r="AD233" s="23"/>
      <c r="AE233" s="23"/>
      <c r="AF233" s="23"/>
      <c r="AG233" s="23"/>
      <c r="AH233" s="23"/>
      <c r="AI233" s="23"/>
    </row>
    <row r="234" spans="1:35" s="23" customFormat="1" ht="24" customHeight="1" x14ac:dyDescent="0.25">
      <c r="A234" s="322" t="s">
        <v>327</v>
      </c>
      <c r="B234" s="322"/>
      <c r="C234" s="118">
        <f t="shared" ref="C234:T234" si="21">SUM(C235:C255)</f>
        <v>63007081.75999999</v>
      </c>
      <c r="D234" s="118">
        <f t="shared" si="21"/>
        <v>15501256.319999998</v>
      </c>
      <c r="E234" s="118">
        <f t="shared" si="21"/>
        <v>3561112.8000000003</v>
      </c>
      <c r="F234" s="118">
        <f t="shared" si="21"/>
        <v>3686715.0700000003</v>
      </c>
      <c r="G234" s="118">
        <f t="shared" si="21"/>
        <v>1949006.65</v>
      </c>
      <c r="H234" s="118">
        <f t="shared" si="21"/>
        <v>3027401.5499999993</v>
      </c>
      <c r="I234" s="118">
        <f t="shared" si="21"/>
        <v>3277020.25</v>
      </c>
      <c r="J234" s="119">
        <f t="shared" si="21"/>
        <v>0</v>
      </c>
      <c r="K234" s="118">
        <f t="shared" si="21"/>
        <v>0</v>
      </c>
      <c r="L234" s="118">
        <f t="shared" si="21"/>
        <v>36956000.769999996</v>
      </c>
      <c r="M234" s="118">
        <f t="shared" si="21"/>
        <v>0</v>
      </c>
      <c r="N234" s="118">
        <f t="shared" si="21"/>
        <v>8406798.5300000012</v>
      </c>
      <c r="O234" s="118">
        <f t="shared" si="21"/>
        <v>0</v>
      </c>
      <c r="P234" s="118">
        <f t="shared" si="21"/>
        <v>2143026.14</v>
      </c>
      <c r="Q234" s="118">
        <f t="shared" si="21"/>
        <v>0</v>
      </c>
      <c r="R234" s="118">
        <f t="shared" si="21"/>
        <v>0</v>
      </c>
      <c r="S234" s="118">
        <f t="shared" si="21"/>
        <v>0</v>
      </c>
      <c r="T234" s="118">
        <f t="shared" si="21"/>
        <v>0</v>
      </c>
      <c r="U234" s="238"/>
      <c r="V234" s="238"/>
    </row>
    <row r="235" spans="1:35" s="44" customFormat="1" ht="24" customHeight="1" x14ac:dyDescent="0.25">
      <c r="A235" s="25">
        <v>1</v>
      </c>
      <c r="B235" s="37" t="s">
        <v>328</v>
      </c>
      <c r="C235" s="75">
        <f t="shared" ref="C235:C255" si="22">D235+K235+L235+M235+N235+O235+P235+Q235+R235+S235+T235</f>
        <v>328968.78999999998</v>
      </c>
      <c r="D235" s="75">
        <f t="shared" ref="D235:D255" si="23">SUM(E235:I235)</f>
        <v>328968.78999999998</v>
      </c>
      <c r="E235" s="75">
        <v>0</v>
      </c>
      <c r="F235" s="75">
        <v>0</v>
      </c>
      <c r="G235" s="75">
        <v>0</v>
      </c>
      <c r="H235" s="75">
        <v>328968.78999999998</v>
      </c>
      <c r="I235" s="75">
        <v>0</v>
      </c>
      <c r="J235" s="152">
        <v>0</v>
      </c>
      <c r="K235" s="75">
        <v>0</v>
      </c>
      <c r="L235" s="75">
        <v>0</v>
      </c>
      <c r="M235" s="75">
        <v>0</v>
      </c>
      <c r="N235" s="75">
        <v>0</v>
      </c>
      <c r="O235" s="75">
        <v>0</v>
      </c>
      <c r="P235" s="75">
        <v>0</v>
      </c>
      <c r="Q235" s="75">
        <v>0</v>
      </c>
      <c r="R235" s="75">
        <v>0</v>
      </c>
      <c r="S235" s="75">
        <v>0</v>
      </c>
      <c r="T235" s="75">
        <v>0</v>
      </c>
      <c r="U235" s="239"/>
      <c r="V235" s="239"/>
    </row>
    <row r="236" spans="1:35" s="40" customFormat="1" ht="24" customHeight="1" x14ac:dyDescent="0.25">
      <c r="A236" s="25">
        <v>2</v>
      </c>
      <c r="B236" s="37" t="s">
        <v>329</v>
      </c>
      <c r="C236" s="75">
        <f t="shared" si="22"/>
        <v>294009.59999999998</v>
      </c>
      <c r="D236" s="75">
        <f t="shared" si="23"/>
        <v>294009.59999999998</v>
      </c>
      <c r="E236" s="75">
        <v>0</v>
      </c>
      <c r="F236" s="75">
        <v>0</v>
      </c>
      <c r="G236" s="75">
        <v>0</v>
      </c>
      <c r="H236" s="75">
        <v>0</v>
      </c>
      <c r="I236" s="75">
        <v>294009.59999999998</v>
      </c>
      <c r="J236" s="152">
        <v>0</v>
      </c>
      <c r="K236" s="75">
        <v>0</v>
      </c>
      <c r="L236" s="75">
        <v>0</v>
      </c>
      <c r="M236" s="75">
        <v>0</v>
      </c>
      <c r="N236" s="75">
        <v>0</v>
      </c>
      <c r="O236" s="75">
        <v>0</v>
      </c>
      <c r="P236" s="75">
        <v>0</v>
      </c>
      <c r="Q236" s="75">
        <v>0</v>
      </c>
      <c r="R236" s="75">
        <v>0</v>
      </c>
      <c r="S236" s="75">
        <v>0</v>
      </c>
      <c r="T236" s="75">
        <v>0</v>
      </c>
      <c r="U236" s="239"/>
      <c r="V236" s="239"/>
    </row>
    <row r="237" spans="1:35" s="40" customFormat="1" ht="24" customHeight="1" x14ac:dyDescent="0.25">
      <c r="A237" s="25">
        <v>3</v>
      </c>
      <c r="B237" s="38" t="s">
        <v>330</v>
      </c>
      <c r="C237" s="75">
        <f t="shared" si="22"/>
        <v>489559.2</v>
      </c>
      <c r="D237" s="75">
        <f t="shared" si="23"/>
        <v>489559.2</v>
      </c>
      <c r="E237" s="75">
        <v>489559.2</v>
      </c>
      <c r="F237" s="75">
        <v>0</v>
      </c>
      <c r="G237" s="75">
        <v>0</v>
      </c>
      <c r="H237" s="75">
        <v>0</v>
      </c>
      <c r="I237" s="75">
        <v>0</v>
      </c>
      <c r="J237" s="152">
        <v>0</v>
      </c>
      <c r="K237" s="75">
        <v>0</v>
      </c>
      <c r="L237" s="75">
        <v>0</v>
      </c>
      <c r="M237" s="75">
        <v>0</v>
      </c>
      <c r="N237" s="75">
        <v>0</v>
      </c>
      <c r="O237" s="75">
        <v>0</v>
      </c>
      <c r="P237" s="75">
        <v>0</v>
      </c>
      <c r="Q237" s="75">
        <v>0</v>
      </c>
      <c r="R237" s="75">
        <v>0</v>
      </c>
      <c r="S237" s="75">
        <v>0</v>
      </c>
      <c r="T237" s="75">
        <v>0</v>
      </c>
      <c r="U237" s="238"/>
      <c r="V237" s="238"/>
    </row>
    <row r="238" spans="1:35" s="40" customFormat="1" ht="24" customHeight="1" x14ac:dyDescent="0.25">
      <c r="A238" s="25">
        <v>4</v>
      </c>
      <c r="B238" s="37" t="s">
        <v>1059</v>
      </c>
      <c r="C238" s="75">
        <f t="shared" si="22"/>
        <v>1086514.21</v>
      </c>
      <c r="D238" s="75">
        <f t="shared" si="23"/>
        <v>935193.59999999998</v>
      </c>
      <c r="E238" s="75">
        <v>471873.6</v>
      </c>
      <c r="F238" s="75">
        <v>0</v>
      </c>
      <c r="G238" s="75">
        <v>0</v>
      </c>
      <c r="H238" s="75">
        <v>288800.40000000002</v>
      </c>
      <c r="I238" s="75">
        <v>174519.6</v>
      </c>
      <c r="J238" s="152">
        <v>0</v>
      </c>
      <c r="K238" s="75">
        <v>0</v>
      </c>
      <c r="L238" s="75">
        <v>0</v>
      </c>
      <c r="M238" s="75">
        <v>0</v>
      </c>
      <c r="N238" s="75">
        <v>0</v>
      </c>
      <c r="O238" s="75">
        <v>0</v>
      </c>
      <c r="P238" s="75">
        <v>151320.60999999999</v>
      </c>
      <c r="Q238" s="75">
        <v>0</v>
      </c>
      <c r="R238" s="75">
        <v>0</v>
      </c>
      <c r="S238" s="75">
        <v>0</v>
      </c>
      <c r="T238" s="75">
        <v>0</v>
      </c>
      <c r="U238" s="239"/>
      <c r="V238" s="239"/>
    </row>
    <row r="239" spans="1:35" s="40" customFormat="1" ht="24" customHeight="1" x14ac:dyDescent="0.25">
      <c r="A239" s="25">
        <v>5</v>
      </c>
      <c r="B239" s="37" t="s">
        <v>332</v>
      </c>
      <c r="C239" s="75">
        <f t="shared" si="22"/>
        <v>225060</v>
      </c>
      <c r="D239" s="75">
        <f t="shared" si="23"/>
        <v>225060</v>
      </c>
      <c r="E239" s="75">
        <v>0</v>
      </c>
      <c r="F239" s="75">
        <v>0</v>
      </c>
      <c r="G239" s="75">
        <v>0</v>
      </c>
      <c r="H239" s="75">
        <v>225060</v>
      </c>
      <c r="I239" s="75">
        <v>0</v>
      </c>
      <c r="J239" s="152">
        <v>0</v>
      </c>
      <c r="K239" s="75">
        <v>0</v>
      </c>
      <c r="L239" s="75">
        <v>0</v>
      </c>
      <c r="M239" s="75">
        <v>0</v>
      </c>
      <c r="N239" s="75">
        <v>0</v>
      </c>
      <c r="O239" s="75">
        <v>0</v>
      </c>
      <c r="P239" s="75">
        <v>0</v>
      </c>
      <c r="Q239" s="75">
        <v>0</v>
      </c>
      <c r="R239" s="75">
        <v>0</v>
      </c>
      <c r="S239" s="75">
        <v>0</v>
      </c>
      <c r="T239" s="75">
        <v>0</v>
      </c>
      <c r="U239" s="239"/>
      <c r="V239" s="239"/>
    </row>
    <row r="240" spans="1:35" s="40" customFormat="1" ht="24" customHeight="1" x14ac:dyDescent="0.25">
      <c r="A240" s="25">
        <v>6</v>
      </c>
      <c r="B240" s="37" t="s">
        <v>1060</v>
      </c>
      <c r="C240" s="75">
        <f t="shared" si="22"/>
        <v>3067388.09</v>
      </c>
      <c r="D240" s="75">
        <f t="shared" si="23"/>
        <v>2734232.78</v>
      </c>
      <c r="E240" s="75">
        <v>0</v>
      </c>
      <c r="F240" s="75">
        <v>0</v>
      </c>
      <c r="G240" s="75">
        <v>1949006.65</v>
      </c>
      <c r="H240" s="75">
        <v>785226.13</v>
      </c>
      <c r="I240" s="75">
        <v>0</v>
      </c>
      <c r="J240" s="152">
        <v>0</v>
      </c>
      <c r="K240" s="75">
        <v>0</v>
      </c>
      <c r="L240" s="75">
        <v>0</v>
      </c>
      <c r="M240" s="75">
        <v>0</v>
      </c>
      <c r="N240" s="75">
        <v>0</v>
      </c>
      <c r="O240" s="75">
        <v>0</v>
      </c>
      <c r="P240" s="75">
        <v>333155.31</v>
      </c>
      <c r="Q240" s="75">
        <v>0</v>
      </c>
      <c r="R240" s="75">
        <v>0</v>
      </c>
      <c r="S240" s="75">
        <v>0</v>
      </c>
      <c r="T240" s="75">
        <v>0</v>
      </c>
      <c r="U240" s="238"/>
      <c r="V240" s="238"/>
    </row>
    <row r="241" spans="1:39" s="40" customFormat="1" ht="24" customHeight="1" x14ac:dyDescent="0.25">
      <c r="A241" s="25">
        <v>7</v>
      </c>
      <c r="B241" s="37" t="s">
        <v>1061</v>
      </c>
      <c r="C241" s="75">
        <f t="shared" si="22"/>
        <v>27240615.620000001</v>
      </c>
      <c r="D241" s="75">
        <f t="shared" si="23"/>
        <v>2286477.5499999998</v>
      </c>
      <c r="E241" s="75">
        <v>0</v>
      </c>
      <c r="F241" s="75">
        <v>0</v>
      </c>
      <c r="G241" s="75">
        <v>0</v>
      </c>
      <c r="H241" s="75">
        <v>0</v>
      </c>
      <c r="I241" s="75">
        <v>2286477.5499999998</v>
      </c>
      <c r="J241" s="152">
        <v>0</v>
      </c>
      <c r="K241" s="75">
        <v>0</v>
      </c>
      <c r="L241" s="75">
        <v>24248895.620000001</v>
      </c>
      <c r="M241" s="75">
        <v>0</v>
      </c>
      <c r="N241" s="75">
        <v>0</v>
      </c>
      <c r="O241" s="75">
        <v>0</v>
      </c>
      <c r="P241" s="75">
        <v>705242.45</v>
      </c>
      <c r="Q241" s="75">
        <v>0</v>
      </c>
      <c r="R241" s="75">
        <v>0</v>
      </c>
      <c r="S241" s="75">
        <v>0</v>
      </c>
      <c r="T241" s="75">
        <v>0</v>
      </c>
      <c r="U241" s="239"/>
      <c r="V241" s="239"/>
    </row>
    <row r="242" spans="1:39" s="186" customFormat="1" ht="24" customHeight="1" x14ac:dyDescent="0.25">
      <c r="A242" s="25">
        <v>8</v>
      </c>
      <c r="B242" s="37" t="s">
        <v>335</v>
      </c>
      <c r="C242" s="75">
        <f t="shared" si="22"/>
        <v>1487412.56</v>
      </c>
      <c r="D242" s="75">
        <f t="shared" si="23"/>
        <v>0</v>
      </c>
      <c r="E242" s="75">
        <v>0</v>
      </c>
      <c r="F242" s="75">
        <v>0</v>
      </c>
      <c r="G242" s="75">
        <v>0</v>
      </c>
      <c r="H242" s="75">
        <v>0</v>
      </c>
      <c r="I242" s="75">
        <v>0</v>
      </c>
      <c r="J242" s="152">
        <v>0</v>
      </c>
      <c r="K242" s="75">
        <v>0</v>
      </c>
      <c r="L242" s="75">
        <v>1487412.56</v>
      </c>
      <c r="M242" s="75">
        <v>0</v>
      </c>
      <c r="N242" s="75">
        <v>0</v>
      </c>
      <c r="O242" s="75">
        <v>0</v>
      </c>
      <c r="P242" s="75">
        <v>0</v>
      </c>
      <c r="Q242" s="75">
        <v>0</v>
      </c>
      <c r="R242" s="75">
        <v>0</v>
      </c>
      <c r="S242" s="75">
        <v>0</v>
      </c>
      <c r="T242" s="75">
        <v>0</v>
      </c>
      <c r="U242" s="239"/>
      <c r="V242" s="239"/>
    </row>
    <row r="243" spans="1:39" s="186" customFormat="1" ht="24" customHeight="1" x14ac:dyDescent="0.25">
      <c r="A243" s="25">
        <v>9</v>
      </c>
      <c r="B243" s="37" t="s">
        <v>1062</v>
      </c>
      <c r="C243" s="75">
        <f t="shared" si="22"/>
        <v>158648.47</v>
      </c>
      <c r="D243" s="75">
        <f t="shared" si="23"/>
        <v>0</v>
      </c>
      <c r="E243" s="75">
        <v>0</v>
      </c>
      <c r="F243" s="75">
        <v>0</v>
      </c>
      <c r="G243" s="75">
        <v>0</v>
      </c>
      <c r="H243" s="75">
        <v>0</v>
      </c>
      <c r="I243" s="75">
        <v>0</v>
      </c>
      <c r="J243" s="152">
        <v>0</v>
      </c>
      <c r="K243" s="75">
        <v>0</v>
      </c>
      <c r="L243" s="75">
        <v>0</v>
      </c>
      <c r="M243" s="75">
        <v>0</v>
      </c>
      <c r="N243" s="75">
        <v>0</v>
      </c>
      <c r="O243" s="75">
        <v>0</v>
      </c>
      <c r="P243" s="75">
        <v>158648.47</v>
      </c>
      <c r="Q243" s="75">
        <v>0</v>
      </c>
      <c r="R243" s="75">
        <v>0</v>
      </c>
      <c r="S243" s="75">
        <v>0</v>
      </c>
      <c r="T243" s="75">
        <v>0</v>
      </c>
      <c r="U243" s="239"/>
      <c r="V243" s="239"/>
    </row>
    <row r="244" spans="1:39" s="186" customFormat="1" ht="24" customHeight="1" x14ac:dyDescent="0.25">
      <c r="A244" s="25">
        <v>10</v>
      </c>
      <c r="B244" s="37" t="s">
        <v>337</v>
      </c>
      <c r="C244" s="75">
        <f t="shared" si="22"/>
        <v>1049059.6100000001</v>
      </c>
      <c r="D244" s="75">
        <f t="shared" si="23"/>
        <v>1049059.6100000001</v>
      </c>
      <c r="E244" s="75">
        <v>0</v>
      </c>
      <c r="F244" s="75">
        <v>799764.41</v>
      </c>
      <c r="G244" s="75">
        <v>0</v>
      </c>
      <c r="H244" s="75">
        <v>147122.4</v>
      </c>
      <c r="I244" s="75">
        <v>102172.8</v>
      </c>
      <c r="J244" s="152">
        <v>0</v>
      </c>
      <c r="K244" s="75">
        <v>0</v>
      </c>
      <c r="L244" s="75">
        <v>0</v>
      </c>
      <c r="M244" s="75">
        <v>0</v>
      </c>
      <c r="N244" s="75">
        <v>0</v>
      </c>
      <c r="O244" s="75">
        <v>0</v>
      </c>
      <c r="P244" s="75">
        <v>0</v>
      </c>
      <c r="Q244" s="75">
        <v>0</v>
      </c>
      <c r="R244" s="75">
        <v>0</v>
      </c>
      <c r="S244" s="75">
        <v>0</v>
      </c>
      <c r="T244" s="75">
        <v>0</v>
      </c>
      <c r="U244" s="239"/>
      <c r="V244" s="239"/>
    </row>
    <row r="245" spans="1:39" s="186" customFormat="1" ht="24" customHeight="1" x14ac:dyDescent="0.25">
      <c r="A245" s="25">
        <v>11</v>
      </c>
      <c r="B245" s="37" t="s">
        <v>338</v>
      </c>
      <c r="C245" s="75">
        <f t="shared" si="22"/>
        <v>2615161.62</v>
      </c>
      <c r="D245" s="75">
        <f t="shared" si="23"/>
        <v>0</v>
      </c>
      <c r="E245" s="75">
        <v>0</v>
      </c>
      <c r="F245" s="75">
        <v>0</v>
      </c>
      <c r="G245" s="75">
        <v>0</v>
      </c>
      <c r="H245" s="75">
        <v>0</v>
      </c>
      <c r="I245" s="75">
        <v>0</v>
      </c>
      <c r="J245" s="152">
        <v>0</v>
      </c>
      <c r="K245" s="75">
        <v>0</v>
      </c>
      <c r="L245" s="75">
        <v>0</v>
      </c>
      <c r="M245" s="75">
        <v>0</v>
      </c>
      <c r="N245" s="75">
        <v>2615161.62</v>
      </c>
      <c r="O245" s="75">
        <v>0</v>
      </c>
      <c r="P245" s="75">
        <v>0</v>
      </c>
      <c r="Q245" s="75">
        <v>0</v>
      </c>
      <c r="R245" s="75">
        <v>0</v>
      </c>
      <c r="S245" s="75">
        <v>0</v>
      </c>
      <c r="T245" s="75">
        <v>0</v>
      </c>
      <c r="U245" s="239"/>
      <c r="V245" s="239"/>
    </row>
    <row r="246" spans="1:39" s="186" customFormat="1" ht="24" customHeight="1" x14ac:dyDescent="0.25">
      <c r="A246" s="25">
        <v>12</v>
      </c>
      <c r="B246" s="37" t="s">
        <v>1063</v>
      </c>
      <c r="C246" s="75">
        <f t="shared" si="22"/>
        <v>3831978.95</v>
      </c>
      <c r="D246" s="75">
        <f t="shared" si="23"/>
        <v>0</v>
      </c>
      <c r="E246" s="75">
        <v>0</v>
      </c>
      <c r="F246" s="75">
        <v>0</v>
      </c>
      <c r="G246" s="75">
        <v>0</v>
      </c>
      <c r="H246" s="75">
        <v>0</v>
      </c>
      <c r="I246" s="75">
        <v>0</v>
      </c>
      <c r="J246" s="152">
        <v>0</v>
      </c>
      <c r="K246" s="75">
        <v>0</v>
      </c>
      <c r="L246" s="75">
        <v>0</v>
      </c>
      <c r="M246" s="75">
        <v>0</v>
      </c>
      <c r="N246" s="75">
        <v>3831978.95</v>
      </c>
      <c r="O246" s="75">
        <v>0</v>
      </c>
      <c r="P246" s="75">
        <v>0</v>
      </c>
      <c r="Q246" s="75">
        <v>0</v>
      </c>
      <c r="R246" s="75">
        <v>0</v>
      </c>
      <c r="S246" s="75">
        <v>0</v>
      </c>
      <c r="T246" s="75">
        <v>0</v>
      </c>
      <c r="U246" s="239"/>
      <c r="V246" s="239"/>
    </row>
    <row r="247" spans="1:39" s="186" customFormat="1" ht="24" customHeight="1" x14ac:dyDescent="0.25">
      <c r="A247" s="25">
        <v>13</v>
      </c>
      <c r="B247" s="37" t="s">
        <v>1064</v>
      </c>
      <c r="C247" s="75">
        <f t="shared" si="22"/>
        <v>1990946.8299999998</v>
      </c>
      <c r="D247" s="75">
        <f t="shared" si="23"/>
        <v>1872963.41</v>
      </c>
      <c r="E247" s="75">
        <v>0</v>
      </c>
      <c r="F247" s="75">
        <v>1475944.48</v>
      </c>
      <c r="G247" s="75">
        <v>0</v>
      </c>
      <c r="H247" s="75">
        <v>262701.43</v>
      </c>
      <c r="I247" s="75">
        <v>134317.5</v>
      </c>
      <c r="J247" s="152">
        <v>0</v>
      </c>
      <c r="K247" s="75">
        <v>0</v>
      </c>
      <c r="L247" s="75">
        <v>0</v>
      </c>
      <c r="M247" s="75">
        <v>0</v>
      </c>
      <c r="N247" s="75">
        <v>0</v>
      </c>
      <c r="O247" s="75">
        <v>0</v>
      </c>
      <c r="P247" s="75">
        <v>117983.42</v>
      </c>
      <c r="Q247" s="75">
        <v>0</v>
      </c>
      <c r="R247" s="75">
        <v>0</v>
      </c>
      <c r="S247" s="75">
        <v>0</v>
      </c>
      <c r="T247" s="75">
        <v>0</v>
      </c>
      <c r="U247" s="238"/>
      <c r="V247" s="238"/>
    </row>
    <row r="248" spans="1:39" s="186" customFormat="1" ht="24" customHeight="1" x14ac:dyDescent="0.25">
      <c r="A248" s="25">
        <v>14</v>
      </c>
      <c r="B248" s="37" t="s">
        <v>341</v>
      </c>
      <c r="C248" s="75">
        <f t="shared" si="22"/>
        <v>729786</v>
      </c>
      <c r="D248" s="75">
        <f t="shared" si="23"/>
        <v>729786</v>
      </c>
      <c r="E248" s="75">
        <v>0</v>
      </c>
      <c r="F248" s="75">
        <v>0</v>
      </c>
      <c r="G248" s="75">
        <v>0</v>
      </c>
      <c r="H248" s="75">
        <v>729786</v>
      </c>
      <c r="I248" s="75">
        <v>0</v>
      </c>
      <c r="J248" s="152">
        <v>0</v>
      </c>
      <c r="K248" s="75">
        <v>0</v>
      </c>
      <c r="L248" s="75">
        <v>0</v>
      </c>
      <c r="M248" s="75">
        <v>0</v>
      </c>
      <c r="N248" s="75">
        <v>0</v>
      </c>
      <c r="O248" s="75">
        <v>0</v>
      </c>
      <c r="P248" s="75">
        <v>0</v>
      </c>
      <c r="Q248" s="75">
        <v>0</v>
      </c>
      <c r="R248" s="75">
        <v>0</v>
      </c>
      <c r="S248" s="75">
        <v>0</v>
      </c>
      <c r="T248" s="75">
        <v>0</v>
      </c>
      <c r="U248" s="239"/>
      <c r="V248" s="239"/>
    </row>
    <row r="249" spans="1:39" s="186" customFormat="1" ht="24" customHeight="1" x14ac:dyDescent="0.25">
      <c r="A249" s="25">
        <v>15</v>
      </c>
      <c r="B249" s="37" t="s">
        <v>342</v>
      </c>
      <c r="C249" s="75">
        <f t="shared" si="22"/>
        <v>2874440.98</v>
      </c>
      <c r="D249" s="75">
        <f t="shared" si="23"/>
        <v>2874440.98</v>
      </c>
      <c r="E249" s="75">
        <v>918175.2</v>
      </c>
      <c r="F249" s="75">
        <v>1411006.18</v>
      </c>
      <c r="G249" s="75">
        <v>0</v>
      </c>
      <c r="H249" s="75">
        <v>259736.4</v>
      </c>
      <c r="I249" s="75">
        <v>285523.20000000001</v>
      </c>
      <c r="J249" s="152">
        <v>0</v>
      </c>
      <c r="K249" s="75">
        <v>0</v>
      </c>
      <c r="L249" s="75">
        <v>0</v>
      </c>
      <c r="M249" s="75">
        <v>0</v>
      </c>
      <c r="N249" s="75">
        <v>0</v>
      </c>
      <c r="O249" s="75">
        <v>0</v>
      </c>
      <c r="P249" s="75">
        <v>0</v>
      </c>
      <c r="Q249" s="75">
        <v>0</v>
      </c>
      <c r="R249" s="75">
        <v>0</v>
      </c>
      <c r="S249" s="75">
        <v>0</v>
      </c>
      <c r="T249" s="75">
        <v>0</v>
      </c>
      <c r="U249" s="239"/>
      <c r="V249" s="239"/>
    </row>
    <row r="250" spans="1:39" s="44" customFormat="1" ht="25.15" customHeight="1" x14ac:dyDescent="0.25">
      <c r="A250" s="25">
        <v>16</v>
      </c>
      <c r="B250" s="37" t="s">
        <v>343</v>
      </c>
      <c r="C250" s="75">
        <f t="shared" si="22"/>
        <v>5990583.5</v>
      </c>
      <c r="D250" s="75">
        <f t="shared" si="23"/>
        <v>0</v>
      </c>
      <c r="E250" s="75">
        <v>0</v>
      </c>
      <c r="F250" s="75">
        <v>0</v>
      </c>
      <c r="G250" s="75">
        <v>0</v>
      </c>
      <c r="H250" s="75">
        <v>0</v>
      </c>
      <c r="I250" s="75">
        <v>0</v>
      </c>
      <c r="J250" s="152">
        <v>0</v>
      </c>
      <c r="K250" s="75">
        <v>0</v>
      </c>
      <c r="L250" s="75">
        <v>5990583.5</v>
      </c>
      <c r="M250" s="75">
        <v>0</v>
      </c>
      <c r="N250" s="75">
        <v>0</v>
      </c>
      <c r="O250" s="75">
        <v>0</v>
      </c>
      <c r="P250" s="75">
        <v>0</v>
      </c>
      <c r="Q250" s="75">
        <v>0</v>
      </c>
      <c r="R250" s="75">
        <v>0</v>
      </c>
      <c r="S250" s="75">
        <v>0</v>
      </c>
      <c r="T250" s="75">
        <v>0</v>
      </c>
      <c r="U250" s="239"/>
      <c r="V250" s="239"/>
    </row>
    <row r="251" spans="1:39" s="44" customFormat="1" ht="25.15" customHeight="1" x14ac:dyDescent="0.25">
      <c r="A251" s="25">
        <v>17</v>
      </c>
      <c r="B251" s="37" t="s">
        <v>344</v>
      </c>
      <c r="C251" s="75">
        <f t="shared" si="22"/>
        <v>5229109.09</v>
      </c>
      <c r="D251" s="75">
        <f t="shared" si="23"/>
        <v>0</v>
      </c>
      <c r="E251" s="75">
        <v>0</v>
      </c>
      <c r="F251" s="75">
        <v>0</v>
      </c>
      <c r="G251" s="75">
        <v>0</v>
      </c>
      <c r="H251" s="75">
        <v>0</v>
      </c>
      <c r="I251" s="75">
        <v>0</v>
      </c>
      <c r="J251" s="152">
        <v>0</v>
      </c>
      <c r="K251" s="75">
        <v>0</v>
      </c>
      <c r="L251" s="75">
        <v>5229109.09</v>
      </c>
      <c r="M251" s="75">
        <v>0</v>
      </c>
      <c r="N251" s="75">
        <v>0</v>
      </c>
      <c r="O251" s="75">
        <v>0</v>
      </c>
      <c r="P251" s="75">
        <v>0</v>
      </c>
      <c r="Q251" s="75">
        <v>0</v>
      </c>
      <c r="R251" s="75">
        <v>0</v>
      </c>
      <c r="S251" s="75">
        <v>0</v>
      </c>
      <c r="T251" s="75">
        <v>0</v>
      </c>
      <c r="U251" s="239"/>
      <c r="V251" s="239"/>
    </row>
    <row r="252" spans="1:39" s="44" customFormat="1" ht="25.15" customHeight="1" x14ac:dyDescent="0.25">
      <c r="A252" s="25">
        <v>18</v>
      </c>
      <c r="B252" s="37" t="s">
        <v>345</v>
      </c>
      <c r="C252" s="75">
        <f t="shared" si="22"/>
        <v>329641.2</v>
      </c>
      <c r="D252" s="75">
        <f t="shared" si="23"/>
        <v>329641.2</v>
      </c>
      <c r="E252" s="75">
        <v>329641.2</v>
      </c>
      <c r="F252" s="75">
        <v>0</v>
      </c>
      <c r="G252" s="75">
        <v>0</v>
      </c>
      <c r="H252" s="75">
        <v>0</v>
      </c>
      <c r="I252" s="75">
        <v>0</v>
      </c>
      <c r="J252" s="152">
        <v>0</v>
      </c>
      <c r="K252" s="75">
        <v>0</v>
      </c>
      <c r="L252" s="75">
        <v>0</v>
      </c>
      <c r="M252" s="75">
        <v>0</v>
      </c>
      <c r="N252" s="75">
        <v>0</v>
      </c>
      <c r="O252" s="75">
        <v>0</v>
      </c>
      <c r="P252" s="75">
        <v>0</v>
      </c>
      <c r="Q252" s="75">
        <v>0</v>
      </c>
      <c r="R252" s="75">
        <v>0</v>
      </c>
      <c r="S252" s="75">
        <v>0</v>
      </c>
      <c r="T252" s="75">
        <v>0</v>
      </c>
      <c r="U252" s="239"/>
      <c r="V252" s="239"/>
    </row>
    <row r="253" spans="1:39" s="44" customFormat="1" ht="25.15" customHeight="1" x14ac:dyDescent="0.25">
      <c r="A253" s="25">
        <v>19</v>
      </c>
      <c r="B253" s="37" t="s">
        <v>1065</v>
      </c>
      <c r="C253" s="75">
        <f t="shared" si="22"/>
        <v>432691.16000000003</v>
      </c>
      <c r="D253" s="75">
        <f t="shared" si="23"/>
        <v>0</v>
      </c>
      <c r="E253" s="75">
        <v>0</v>
      </c>
      <c r="F253" s="87">
        <v>0</v>
      </c>
      <c r="G253" s="75">
        <v>0</v>
      </c>
      <c r="H253" s="87">
        <v>0</v>
      </c>
      <c r="I253" s="75">
        <v>0</v>
      </c>
      <c r="J253" s="152">
        <v>0</v>
      </c>
      <c r="K253" s="75">
        <v>0</v>
      </c>
      <c r="L253" s="87">
        <v>0</v>
      </c>
      <c r="M253" s="75">
        <v>0</v>
      </c>
      <c r="N253" s="75">
        <v>0</v>
      </c>
      <c r="O253" s="75">
        <v>0</v>
      </c>
      <c r="P253" s="87">
        <f>345390.2+87300.96</f>
        <v>432691.16000000003</v>
      </c>
      <c r="Q253" s="75">
        <v>0</v>
      </c>
      <c r="R253" s="75">
        <v>0</v>
      </c>
      <c r="S253" s="75">
        <v>0</v>
      </c>
      <c r="T253" s="75">
        <v>0</v>
      </c>
      <c r="U253" s="238"/>
      <c r="V253" s="238"/>
      <c r="W253" s="186"/>
      <c r="X253" s="186"/>
      <c r="Y253" s="186"/>
      <c r="Z253" s="186"/>
      <c r="AA253" s="186"/>
      <c r="AB253" s="186"/>
      <c r="AC253" s="186"/>
      <c r="AD253" s="186"/>
      <c r="AE253" s="186"/>
      <c r="AF253" s="186"/>
      <c r="AG253" s="186"/>
      <c r="AH253" s="186"/>
      <c r="AI253" s="186"/>
      <c r="AJ253" s="186"/>
      <c r="AK253" s="186"/>
      <c r="AL253" s="186"/>
      <c r="AM253" s="186"/>
    </row>
    <row r="254" spans="1:39" s="44" customFormat="1" ht="25.15" customHeight="1" x14ac:dyDescent="0.25">
      <c r="A254" s="25">
        <v>20</v>
      </c>
      <c r="B254" s="37" t="s">
        <v>347</v>
      </c>
      <c r="C254" s="75">
        <f t="shared" si="22"/>
        <v>1959657.96</v>
      </c>
      <c r="D254" s="75">
        <f t="shared" si="23"/>
        <v>0</v>
      </c>
      <c r="E254" s="75">
        <v>0</v>
      </c>
      <c r="F254" s="75">
        <v>0</v>
      </c>
      <c r="G254" s="75">
        <v>0</v>
      </c>
      <c r="H254" s="75">
        <v>0</v>
      </c>
      <c r="I254" s="75">
        <v>0</v>
      </c>
      <c r="J254" s="152">
        <v>0</v>
      </c>
      <c r="K254" s="75">
        <v>0</v>
      </c>
      <c r="L254" s="75">
        <v>0</v>
      </c>
      <c r="M254" s="75">
        <v>0</v>
      </c>
      <c r="N254" s="75">
        <v>1959657.96</v>
      </c>
      <c r="O254" s="75">
        <v>0</v>
      </c>
      <c r="P254" s="75">
        <v>0</v>
      </c>
      <c r="Q254" s="75">
        <v>0</v>
      </c>
      <c r="R254" s="75">
        <v>0</v>
      </c>
      <c r="S254" s="75">
        <v>0</v>
      </c>
      <c r="T254" s="75">
        <v>0</v>
      </c>
      <c r="U254" s="239"/>
      <c r="V254" s="239"/>
    </row>
    <row r="255" spans="1:39" s="186" customFormat="1" ht="24" customHeight="1" x14ac:dyDescent="0.25">
      <c r="A255" s="25">
        <v>21</v>
      </c>
      <c r="B255" s="38" t="s">
        <v>1066</v>
      </c>
      <c r="C255" s="75">
        <f t="shared" si="22"/>
        <v>1595848.32</v>
      </c>
      <c r="D255" s="75">
        <f t="shared" si="23"/>
        <v>1351863.6</v>
      </c>
      <c r="E255" s="87">
        <v>1351863.6</v>
      </c>
      <c r="F255" s="87">
        <v>0</v>
      </c>
      <c r="G255" s="87">
        <v>0</v>
      </c>
      <c r="H255" s="87">
        <v>0</v>
      </c>
      <c r="I255" s="87">
        <v>0</v>
      </c>
      <c r="J255" s="152">
        <v>0</v>
      </c>
      <c r="K255" s="75">
        <v>0</v>
      </c>
      <c r="L255" s="75">
        <v>0</v>
      </c>
      <c r="M255" s="75">
        <v>0</v>
      </c>
      <c r="N255" s="75">
        <v>0</v>
      </c>
      <c r="O255" s="75">
        <v>0</v>
      </c>
      <c r="P255" s="87">
        <f>128781.53+115203.19</f>
        <v>243984.72</v>
      </c>
      <c r="Q255" s="75">
        <v>0</v>
      </c>
      <c r="R255" s="75">
        <v>0</v>
      </c>
      <c r="S255" s="75">
        <v>0</v>
      </c>
      <c r="T255" s="75">
        <v>0</v>
      </c>
      <c r="U255" s="254"/>
      <c r="V255" s="254"/>
    </row>
    <row r="256" spans="1:39" s="186" customFormat="1" ht="32.25" customHeight="1" x14ac:dyDescent="0.25">
      <c r="A256" s="322" t="s">
        <v>349</v>
      </c>
      <c r="B256" s="322"/>
      <c r="C256" s="118">
        <f t="shared" ref="C256:T256" si="24">C257</f>
        <v>200729.9</v>
      </c>
      <c r="D256" s="118">
        <f t="shared" si="24"/>
        <v>0</v>
      </c>
      <c r="E256" s="118">
        <f t="shared" si="24"/>
        <v>0</v>
      </c>
      <c r="F256" s="118">
        <f t="shared" si="24"/>
        <v>0</v>
      </c>
      <c r="G256" s="118">
        <f t="shared" si="24"/>
        <v>0</v>
      </c>
      <c r="H256" s="118">
        <f t="shared" si="24"/>
        <v>0</v>
      </c>
      <c r="I256" s="118">
        <f t="shared" si="24"/>
        <v>0</v>
      </c>
      <c r="J256" s="119">
        <f t="shared" si="24"/>
        <v>0</v>
      </c>
      <c r="K256" s="118">
        <f t="shared" si="24"/>
        <v>0</v>
      </c>
      <c r="L256" s="118">
        <f t="shared" si="24"/>
        <v>0</v>
      </c>
      <c r="M256" s="118">
        <f t="shared" si="24"/>
        <v>0</v>
      </c>
      <c r="N256" s="118">
        <f t="shared" si="24"/>
        <v>0</v>
      </c>
      <c r="O256" s="118">
        <f t="shared" si="24"/>
        <v>0</v>
      </c>
      <c r="P256" s="118">
        <f t="shared" si="24"/>
        <v>200729.9</v>
      </c>
      <c r="Q256" s="118">
        <f t="shared" si="24"/>
        <v>0</v>
      </c>
      <c r="R256" s="118">
        <f t="shared" si="24"/>
        <v>0</v>
      </c>
      <c r="S256" s="118">
        <f t="shared" si="24"/>
        <v>0</v>
      </c>
      <c r="T256" s="118">
        <f t="shared" si="24"/>
        <v>0</v>
      </c>
      <c r="U256" s="238"/>
      <c r="V256" s="238"/>
    </row>
    <row r="257" spans="1:22" s="186" customFormat="1" ht="24" customHeight="1" x14ac:dyDescent="0.25">
      <c r="A257" s="25">
        <v>1</v>
      </c>
      <c r="B257" s="37" t="s">
        <v>1067</v>
      </c>
      <c r="C257" s="75">
        <f>D257+K257+L257+M257+N257+O257+P257+Q257+R257+S257+T257</f>
        <v>200729.9</v>
      </c>
      <c r="D257" s="75">
        <f>SUM(E257:I257)</f>
        <v>0</v>
      </c>
      <c r="E257" s="75">
        <v>0</v>
      </c>
      <c r="F257" s="75">
        <v>0</v>
      </c>
      <c r="G257" s="75">
        <v>0</v>
      </c>
      <c r="H257" s="75">
        <v>0</v>
      </c>
      <c r="I257" s="75">
        <v>0</v>
      </c>
      <c r="J257" s="152">
        <v>0</v>
      </c>
      <c r="K257" s="75">
        <v>0</v>
      </c>
      <c r="L257" s="75">
        <v>0</v>
      </c>
      <c r="M257" s="75">
        <v>0</v>
      </c>
      <c r="N257" s="75">
        <v>0</v>
      </c>
      <c r="O257" s="75">
        <v>0</v>
      </c>
      <c r="P257" s="87">
        <v>200729.9</v>
      </c>
      <c r="Q257" s="75">
        <v>0</v>
      </c>
      <c r="R257" s="75">
        <v>0</v>
      </c>
      <c r="S257" s="75">
        <v>0</v>
      </c>
      <c r="T257" s="75">
        <v>0</v>
      </c>
      <c r="U257" s="239"/>
      <c r="V257" s="239"/>
    </row>
    <row r="258" spans="1:22" s="186" customFormat="1" ht="24" customHeight="1" x14ac:dyDescent="0.25">
      <c r="A258" s="322" t="s">
        <v>351</v>
      </c>
      <c r="B258" s="322"/>
      <c r="C258" s="118">
        <f t="shared" ref="C258:T258" si="25">SUM(C259:C265)</f>
        <v>15274966.289999999</v>
      </c>
      <c r="D258" s="118">
        <f t="shared" si="25"/>
        <v>13943467.640000001</v>
      </c>
      <c r="E258" s="118">
        <f t="shared" si="25"/>
        <v>11534370.550000001</v>
      </c>
      <c r="F258" s="118">
        <f t="shared" si="25"/>
        <v>1421175.19</v>
      </c>
      <c r="G258" s="118">
        <f t="shared" si="25"/>
        <v>393717.26</v>
      </c>
      <c r="H258" s="118">
        <f t="shared" si="25"/>
        <v>477280.1</v>
      </c>
      <c r="I258" s="118">
        <f t="shared" si="25"/>
        <v>116924.54</v>
      </c>
      <c r="J258" s="119">
        <f t="shared" si="25"/>
        <v>0</v>
      </c>
      <c r="K258" s="118">
        <f t="shared" si="25"/>
        <v>0</v>
      </c>
      <c r="L258" s="118">
        <f t="shared" si="25"/>
        <v>0</v>
      </c>
      <c r="M258" s="118">
        <f t="shared" si="25"/>
        <v>0</v>
      </c>
      <c r="N258" s="118">
        <f t="shared" si="25"/>
        <v>0</v>
      </c>
      <c r="O258" s="118">
        <f t="shared" si="25"/>
        <v>0</v>
      </c>
      <c r="P258" s="118">
        <f t="shared" si="25"/>
        <v>1331498.6499999999</v>
      </c>
      <c r="Q258" s="118">
        <f t="shared" si="25"/>
        <v>0</v>
      </c>
      <c r="R258" s="118">
        <f t="shared" si="25"/>
        <v>0</v>
      </c>
      <c r="S258" s="118">
        <f t="shared" si="25"/>
        <v>0</v>
      </c>
      <c r="T258" s="118">
        <f t="shared" si="25"/>
        <v>0</v>
      </c>
      <c r="U258" s="252"/>
      <c r="V258" s="252"/>
    </row>
    <row r="259" spans="1:22" s="40" customFormat="1" ht="23.25" customHeight="1" x14ac:dyDescent="0.25">
      <c r="A259" s="25">
        <v>1</v>
      </c>
      <c r="B259" s="69" t="s">
        <v>1068</v>
      </c>
      <c r="C259" s="75">
        <f t="shared" ref="C259:C265" si="26">D259+K259+L259+M259+N259+O259+P259+Q259+R259+S259+T259</f>
        <v>1995495.65</v>
      </c>
      <c r="D259" s="75">
        <f t="shared" ref="D259:D265" si="27">SUM(E259:I259)</f>
        <v>1702849.6099999999</v>
      </c>
      <c r="E259" s="87">
        <v>0</v>
      </c>
      <c r="F259" s="87">
        <v>1421175.19</v>
      </c>
      <c r="G259" s="87">
        <v>0</v>
      </c>
      <c r="H259" s="87">
        <v>164749.88</v>
      </c>
      <c r="I259" s="87">
        <v>116924.54</v>
      </c>
      <c r="J259" s="152">
        <v>0</v>
      </c>
      <c r="K259" s="75">
        <v>0</v>
      </c>
      <c r="L259" s="75">
        <v>0</v>
      </c>
      <c r="M259" s="75">
        <v>0</v>
      </c>
      <c r="N259" s="75">
        <v>0</v>
      </c>
      <c r="O259" s="75">
        <v>0</v>
      </c>
      <c r="P259" s="87">
        <f>122573.05+170072.99</f>
        <v>292646.03999999998</v>
      </c>
      <c r="Q259" s="75">
        <v>0</v>
      </c>
      <c r="R259" s="75">
        <v>0</v>
      </c>
      <c r="S259" s="75">
        <v>0</v>
      </c>
      <c r="T259" s="75">
        <v>0</v>
      </c>
      <c r="U259" s="252"/>
      <c r="V259" s="252"/>
    </row>
    <row r="260" spans="1:22" s="40" customFormat="1" ht="25.5" customHeight="1" x14ac:dyDescent="0.25">
      <c r="A260" s="25">
        <v>2</v>
      </c>
      <c r="B260" s="69" t="s">
        <v>1069</v>
      </c>
      <c r="C260" s="75">
        <f t="shared" si="26"/>
        <v>4677443.67</v>
      </c>
      <c r="D260" s="75">
        <f t="shared" si="27"/>
        <v>4387101.83</v>
      </c>
      <c r="E260" s="87">
        <v>4387101.83</v>
      </c>
      <c r="F260" s="87">
        <v>0</v>
      </c>
      <c r="G260" s="87">
        <v>0</v>
      </c>
      <c r="H260" s="87">
        <v>0</v>
      </c>
      <c r="I260" s="75">
        <v>0</v>
      </c>
      <c r="J260" s="152">
        <v>0</v>
      </c>
      <c r="K260" s="75">
        <v>0</v>
      </c>
      <c r="L260" s="75">
        <v>0</v>
      </c>
      <c r="M260" s="75">
        <v>0</v>
      </c>
      <c r="N260" s="75">
        <v>0</v>
      </c>
      <c r="O260" s="75">
        <v>0</v>
      </c>
      <c r="P260" s="87">
        <v>290341.84000000003</v>
      </c>
      <c r="Q260" s="75">
        <v>0</v>
      </c>
      <c r="R260" s="75">
        <v>0</v>
      </c>
      <c r="S260" s="75">
        <v>0</v>
      </c>
      <c r="T260" s="75">
        <v>0</v>
      </c>
      <c r="U260" s="253"/>
      <c r="V260" s="253"/>
    </row>
    <row r="261" spans="1:22" s="40" customFormat="1" ht="22.5" customHeight="1" x14ac:dyDescent="0.25">
      <c r="A261" s="25">
        <v>3</v>
      </c>
      <c r="B261" s="69" t="s">
        <v>355</v>
      </c>
      <c r="C261" s="75">
        <f t="shared" si="26"/>
        <v>685344</v>
      </c>
      <c r="D261" s="75">
        <f t="shared" si="27"/>
        <v>685344</v>
      </c>
      <c r="E261" s="87">
        <v>685344</v>
      </c>
      <c r="F261" s="75">
        <v>0</v>
      </c>
      <c r="G261" s="75">
        <v>0</v>
      </c>
      <c r="H261" s="87">
        <v>0</v>
      </c>
      <c r="I261" s="75">
        <v>0</v>
      </c>
      <c r="J261" s="152">
        <v>0</v>
      </c>
      <c r="K261" s="75">
        <v>0</v>
      </c>
      <c r="L261" s="75">
        <v>0</v>
      </c>
      <c r="M261" s="87">
        <v>0</v>
      </c>
      <c r="N261" s="75">
        <v>0</v>
      </c>
      <c r="O261" s="75">
        <v>0</v>
      </c>
      <c r="P261" s="75">
        <v>0</v>
      </c>
      <c r="Q261" s="75">
        <v>0</v>
      </c>
      <c r="R261" s="75">
        <v>0</v>
      </c>
      <c r="S261" s="75">
        <v>0</v>
      </c>
      <c r="T261" s="75">
        <v>0</v>
      </c>
      <c r="U261" s="253"/>
      <c r="V261" s="253"/>
    </row>
    <row r="262" spans="1:22" s="40" customFormat="1" ht="22.5" customHeight="1" x14ac:dyDescent="0.25">
      <c r="A262" s="25">
        <v>4</v>
      </c>
      <c r="B262" s="69" t="s">
        <v>1070</v>
      </c>
      <c r="C262" s="75">
        <f t="shared" si="26"/>
        <v>198195.53</v>
      </c>
      <c r="D262" s="75">
        <f t="shared" si="27"/>
        <v>0</v>
      </c>
      <c r="E262" s="87">
        <v>0</v>
      </c>
      <c r="F262" s="87">
        <v>0</v>
      </c>
      <c r="G262" s="87">
        <v>0</v>
      </c>
      <c r="H262" s="87">
        <v>0</v>
      </c>
      <c r="I262" s="75">
        <v>0</v>
      </c>
      <c r="J262" s="152">
        <v>0</v>
      </c>
      <c r="K262" s="75">
        <v>0</v>
      </c>
      <c r="L262" s="75">
        <v>0</v>
      </c>
      <c r="M262" s="75">
        <v>0</v>
      </c>
      <c r="N262" s="75">
        <v>0</v>
      </c>
      <c r="O262" s="75">
        <v>0</v>
      </c>
      <c r="P262" s="87">
        <v>198195.53</v>
      </c>
      <c r="Q262" s="75">
        <v>0</v>
      </c>
      <c r="R262" s="75">
        <v>0</v>
      </c>
      <c r="S262" s="75">
        <v>0</v>
      </c>
      <c r="T262" s="75">
        <v>0</v>
      </c>
      <c r="U262" s="253"/>
      <c r="V262" s="253"/>
    </row>
    <row r="263" spans="1:22" s="40" customFormat="1" ht="22.5" customHeight="1" x14ac:dyDescent="0.25">
      <c r="A263" s="25">
        <v>5</v>
      </c>
      <c r="B263" s="69" t="s">
        <v>1071</v>
      </c>
      <c r="C263" s="75">
        <f t="shared" si="26"/>
        <v>4176292.08</v>
      </c>
      <c r="D263" s="75">
        <f t="shared" si="27"/>
        <v>3625976.84</v>
      </c>
      <c r="E263" s="87">
        <v>3625976.84</v>
      </c>
      <c r="F263" s="87">
        <v>0</v>
      </c>
      <c r="G263" s="87">
        <v>0</v>
      </c>
      <c r="H263" s="87">
        <v>0</v>
      </c>
      <c r="I263" s="75">
        <v>0</v>
      </c>
      <c r="J263" s="152">
        <v>0</v>
      </c>
      <c r="K263" s="75">
        <v>0</v>
      </c>
      <c r="L263" s="75">
        <v>0</v>
      </c>
      <c r="M263" s="75">
        <v>0</v>
      </c>
      <c r="N263" s="75">
        <v>0</v>
      </c>
      <c r="O263" s="75">
        <v>0</v>
      </c>
      <c r="P263" s="87">
        <f>349421.42+200893.82</f>
        <v>550315.24</v>
      </c>
      <c r="Q263" s="75">
        <v>0</v>
      </c>
      <c r="R263" s="75">
        <v>0</v>
      </c>
      <c r="S263" s="75">
        <v>0</v>
      </c>
      <c r="T263" s="75">
        <v>0</v>
      </c>
      <c r="U263" s="253"/>
      <c r="V263" s="253"/>
    </row>
    <row r="264" spans="1:22" s="40" customFormat="1" ht="22.5" customHeight="1" x14ac:dyDescent="0.25">
      <c r="A264" s="25">
        <v>6</v>
      </c>
      <c r="B264" s="69" t="s">
        <v>1072</v>
      </c>
      <c r="C264" s="75">
        <f t="shared" si="26"/>
        <v>1374617.88</v>
      </c>
      <c r="D264" s="75">
        <f t="shared" si="27"/>
        <v>1374617.88</v>
      </c>
      <c r="E264" s="87">
        <v>1374617.88</v>
      </c>
      <c r="F264" s="87">
        <v>0</v>
      </c>
      <c r="G264" s="87">
        <v>0</v>
      </c>
      <c r="H264" s="87">
        <v>0</v>
      </c>
      <c r="I264" s="75">
        <v>0</v>
      </c>
      <c r="J264" s="152">
        <v>0</v>
      </c>
      <c r="K264" s="75">
        <v>0</v>
      </c>
      <c r="L264" s="75">
        <v>0</v>
      </c>
      <c r="M264" s="75">
        <v>0</v>
      </c>
      <c r="N264" s="75">
        <v>0</v>
      </c>
      <c r="O264" s="75">
        <v>0</v>
      </c>
      <c r="P264" s="87">
        <v>0</v>
      </c>
      <c r="Q264" s="75">
        <v>0</v>
      </c>
      <c r="R264" s="75">
        <v>0</v>
      </c>
      <c r="S264" s="75">
        <v>0</v>
      </c>
      <c r="T264" s="75">
        <v>0</v>
      </c>
      <c r="U264" s="253"/>
      <c r="V264" s="253"/>
    </row>
    <row r="265" spans="1:22" s="40" customFormat="1" ht="22.5" customHeight="1" x14ac:dyDescent="0.25">
      <c r="A265" s="25">
        <v>7</v>
      </c>
      <c r="B265" s="69" t="s">
        <v>359</v>
      </c>
      <c r="C265" s="75">
        <f t="shared" si="26"/>
        <v>2167577.48</v>
      </c>
      <c r="D265" s="75">
        <f t="shared" si="27"/>
        <v>2167577.48</v>
      </c>
      <c r="E265" s="87">
        <v>1461330</v>
      </c>
      <c r="F265" s="75">
        <v>0</v>
      </c>
      <c r="G265" s="87">
        <v>393717.26</v>
      </c>
      <c r="H265" s="87">
        <v>312530.21999999997</v>
      </c>
      <c r="I265" s="75">
        <v>0</v>
      </c>
      <c r="J265" s="152">
        <v>0</v>
      </c>
      <c r="K265" s="75">
        <v>0</v>
      </c>
      <c r="L265" s="75">
        <v>0</v>
      </c>
      <c r="M265" s="87">
        <v>0</v>
      </c>
      <c r="N265" s="75">
        <v>0</v>
      </c>
      <c r="O265" s="75">
        <v>0</v>
      </c>
      <c r="P265" s="75">
        <v>0</v>
      </c>
      <c r="Q265" s="75">
        <v>0</v>
      </c>
      <c r="R265" s="75">
        <v>0</v>
      </c>
      <c r="S265" s="75">
        <v>0</v>
      </c>
      <c r="T265" s="75">
        <v>0</v>
      </c>
      <c r="U265" s="253"/>
      <c r="V265" s="253"/>
    </row>
    <row r="266" spans="1:22" s="186" customFormat="1" ht="22.5" customHeight="1" x14ac:dyDescent="0.25">
      <c r="A266" s="322" t="s">
        <v>360</v>
      </c>
      <c r="B266" s="322"/>
      <c r="C266" s="118">
        <f t="shared" ref="C266:T266" si="28">SUM(C267:C268)</f>
        <v>1025320.6000000001</v>
      </c>
      <c r="D266" s="118">
        <f t="shared" si="28"/>
        <v>0</v>
      </c>
      <c r="E266" s="118">
        <f t="shared" si="28"/>
        <v>0</v>
      </c>
      <c r="F266" s="118">
        <f t="shared" si="28"/>
        <v>0</v>
      </c>
      <c r="G266" s="118">
        <f t="shared" si="28"/>
        <v>0</v>
      </c>
      <c r="H266" s="118">
        <f t="shared" si="28"/>
        <v>0</v>
      </c>
      <c r="I266" s="118">
        <f t="shared" si="28"/>
        <v>0</v>
      </c>
      <c r="J266" s="119">
        <f t="shared" si="28"/>
        <v>0</v>
      </c>
      <c r="K266" s="118">
        <f t="shared" si="28"/>
        <v>0</v>
      </c>
      <c r="L266" s="118">
        <f t="shared" si="28"/>
        <v>0</v>
      </c>
      <c r="M266" s="118">
        <f t="shared" si="28"/>
        <v>0</v>
      </c>
      <c r="N266" s="118">
        <f t="shared" si="28"/>
        <v>0</v>
      </c>
      <c r="O266" s="118">
        <f t="shared" si="28"/>
        <v>0</v>
      </c>
      <c r="P266" s="118">
        <f t="shared" si="28"/>
        <v>1025320.6000000001</v>
      </c>
      <c r="Q266" s="118">
        <f t="shared" si="28"/>
        <v>0</v>
      </c>
      <c r="R266" s="118">
        <f t="shared" si="28"/>
        <v>0</v>
      </c>
      <c r="S266" s="118">
        <f t="shared" si="28"/>
        <v>0</v>
      </c>
      <c r="T266" s="118">
        <f t="shared" si="28"/>
        <v>0</v>
      </c>
      <c r="U266" s="252"/>
      <c r="V266" s="252"/>
    </row>
    <row r="267" spans="1:22" s="23" customFormat="1" ht="22.9" customHeight="1" x14ac:dyDescent="0.25">
      <c r="A267" s="25">
        <v>1</v>
      </c>
      <c r="B267" s="37" t="s">
        <v>1073</v>
      </c>
      <c r="C267" s="75">
        <f t="shared" ref="C267:C268" si="29">D267+K267+L267+M267+N267+O267+P267+Q267+R267+S267+T267</f>
        <v>454128.08</v>
      </c>
      <c r="D267" s="75">
        <f t="shared" ref="D267:D268" si="30">SUM(E267:I267)</f>
        <v>0</v>
      </c>
      <c r="E267" s="75">
        <v>0</v>
      </c>
      <c r="F267" s="75">
        <v>0</v>
      </c>
      <c r="G267" s="75">
        <v>0</v>
      </c>
      <c r="H267" s="75">
        <v>0</v>
      </c>
      <c r="I267" s="75">
        <v>0</v>
      </c>
      <c r="J267" s="152">
        <v>0</v>
      </c>
      <c r="K267" s="75">
        <v>0</v>
      </c>
      <c r="L267" s="87">
        <v>0</v>
      </c>
      <c r="M267" s="75">
        <v>0</v>
      </c>
      <c r="N267" s="75">
        <v>0</v>
      </c>
      <c r="O267" s="75">
        <v>0</v>
      </c>
      <c r="P267" s="87">
        <v>454128.08</v>
      </c>
      <c r="Q267" s="75">
        <v>0</v>
      </c>
      <c r="R267" s="75">
        <v>0</v>
      </c>
      <c r="S267" s="75">
        <v>0</v>
      </c>
      <c r="T267" s="75">
        <v>0</v>
      </c>
      <c r="U267" s="44"/>
      <c r="V267" s="44"/>
    </row>
    <row r="268" spans="1:22" s="44" customFormat="1" ht="22.9" customHeight="1" x14ac:dyDescent="0.25">
      <c r="A268" s="25">
        <v>2</v>
      </c>
      <c r="B268" s="37" t="s">
        <v>1074</v>
      </c>
      <c r="C268" s="75">
        <f t="shared" si="29"/>
        <v>571192.52</v>
      </c>
      <c r="D268" s="75">
        <f t="shared" si="30"/>
        <v>0</v>
      </c>
      <c r="E268" s="75">
        <v>0</v>
      </c>
      <c r="F268" s="75">
        <v>0</v>
      </c>
      <c r="G268" s="75">
        <v>0</v>
      </c>
      <c r="H268" s="75">
        <v>0</v>
      </c>
      <c r="I268" s="75">
        <v>0</v>
      </c>
      <c r="J268" s="152">
        <v>0</v>
      </c>
      <c r="K268" s="75">
        <v>0</v>
      </c>
      <c r="L268" s="75">
        <v>0</v>
      </c>
      <c r="M268" s="75">
        <v>0</v>
      </c>
      <c r="N268" s="75">
        <v>0</v>
      </c>
      <c r="O268" s="75">
        <v>0</v>
      </c>
      <c r="P268" s="87">
        <f>289751.09+281441.43</f>
        <v>571192.52</v>
      </c>
      <c r="Q268" s="75">
        <v>0</v>
      </c>
      <c r="R268" s="75">
        <v>0</v>
      </c>
      <c r="S268" s="75">
        <v>0</v>
      </c>
      <c r="T268" s="75">
        <v>0</v>
      </c>
    </row>
    <row r="269" spans="1:22" s="186" customFormat="1" ht="22.9" customHeight="1" x14ac:dyDescent="0.25">
      <c r="A269" s="326" t="s">
        <v>363</v>
      </c>
      <c r="B269" s="326"/>
      <c r="C269" s="118">
        <f t="shared" ref="C269:T269" si="31">SUM(C270:C284)</f>
        <v>45698775.029999994</v>
      </c>
      <c r="D269" s="118">
        <f t="shared" si="31"/>
        <v>23022043.600000001</v>
      </c>
      <c r="E269" s="118">
        <f t="shared" si="31"/>
        <v>6804392.1100000003</v>
      </c>
      <c r="F269" s="118">
        <f t="shared" si="31"/>
        <v>12653001.220000001</v>
      </c>
      <c r="G269" s="118">
        <f t="shared" si="31"/>
        <v>2573225.87</v>
      </c>
      <c r="H269" s="118">
        <f t="shared" si="31"/>
        <v>764239.2</v>
      </c>
      <c r="I269" s="118">
        <f t="shared" si="31"/>
        <v>227185.2</v>
      </c>
      <c r="J269" s="119">
        <f t="shared" si="31"/>
        <v>0</v>
      </c>
      <c r="K269" s="118">
        <f t="shared" si="31"/>
        <v>0</v>
      </c>
      <c r="L269" s="118">
        <f t="shared" si="31"/>
        <v>19767219.619999997</v>
      </c>
      <c r="M269" s="118">
        <f t="shared" si="31"/>
        <v>0</v>
      </c>
      <c r="N269" s="118">
        <f t="shared" si="31"/>
        <v>0</v>
      </c>
      <c r="O269" s="118">
        <f t="shared" si="31"/>
        <v>0</v>
      </c>
      <c r="P269" s="118">
        <f t="shared" si="31"/>
        <v>2909511.8100000005</v>
      </c>
      <c r="Q269" s="118">
        <f t="shared" si="31"/>
        <v>0</v>
      </c>
      <c r="R269" s="118">
        <f t="shared" si="31"/>
        <v>0</v>
      </c>
      <c r="S269" s="118">
        <f t="shared" si="31"/>
        <v>0</v>
      </c>
      <c r="T269" s="118">
        <f t="shared" si="31"/>
        <v>0</v>
      </c>
      <c r="U269" s="238"/>
      <c r="V269" s="238"/>
    </row>
    <row r="270" spans="1:22" s="40" customFormat="1" ht="22.9" customHeight="1" x14ac:dyDescent="0.25">
      <c r="A270" s="25">
        <v>1</v>
      </c>
      <c r="B270" s="37" t="s">
        <v>1075</v>
      </c>
      <c r="C270" s="75">
        <f t="shared" ref="C270:C284" si="32">D270+K270+L270+M270+N270+O270+P270+Q270+R270+S270+T270</f>
        <v>272620.95</v>
      </c>
      <c r="D270" s="75">
        <f t="shared" ref="D270:D284" si="33">SUM(E270:I270)</f>
        <v>0</v>
      </c>
      <c r="E270" s="87">
        <v>0</v>
      </c>
      <c r="F270" s="87">
        <v>0</v>
      </c>
      <c r="G270" s="75">
        <v>0</v>
      </c>
      <c r="H270" s="87">
        <v>0</v>
      </c>
      <c r="I270" s="87">
        <v>0</v>
      </c>
      <c r="J270" s="152">
        <v>0</v>
      </c>
      <c r="K270" s="75">
        <v>0</v>
      </c>
      <c r="L270" s="75">
        <v>0</v>
      </c>
      <c r="M270" s="75">
        <v>0</v>
      </c>
      <c r="N270" s="75">
        <v>0</v>
      </c>
      <c r="O270" s="75">
        <v>0</v>
      </c>
      <c r="P270" s="87">
        <v>272620.95</v>
      </c>
      <c r="Q270" s="75">
        <v>0</v>
      </c>
      <c r="R270" s="75">
        <v>0</v>
      </c>
      <c r="S270" s="75">
        <v>0</v>
      </c>
      <c r="T270" s="75">
        <v>0</v>
      </c>
      <c r="U270" s="239"/>
      <c r="V270" s="239"/>
    </row>
    <row r="271" spans="1:22" s="40" customFormat="1" ht="22.9" customHeight="1" x14ac:dyDescent="0.25">
      <c r="A271" s="25">
        <v>2</v>
      </c>
      <c r="B271" s="37" t="s">
        <v>1076</v>
      </c>
      <c r="C271" s="75">
        <f t="shared" si="32"/>
        <v>1369966.8</v>
      </c>
      <c r="D271" s="75">
        <f t="shared" si="33"/>
        <v>1369966.8</v>
      </c>
      <c r="E271" s="87">
        <v>1369966.8</v>
      </c>
      <c r="F271" s="87">
        <v>0</v>
      </c>
      <c r="G271" s="87">
        <v>0</v>
      </c>
      <c r="H271" s="87">
        <v>0</v>
      </c>
      <c r="I271" s="87">
        <v>0</v>
      </c>
      <c r="J271" s="152">
        <v>0</v>
      </c>
      <c r="K271" s="75">
        <v>0</v>
      </c>
      <c r="L271" s="75">
        <v>0</v>
      </c>
      <c r="M271" s="87">
        <v>0</v>
      </c>
      <c r="N271" s="87">
        <v>0</v>
      </c>
      <c r="O271" s="87">
        <v>0</v>
      </c>
      <c r="P271" s="75">
        <v>0</v>
      </c>
      <c r="Q271" s="75">
        <v>0</v>
      </c>
      <c r="R271" s="75">
        <v>0</v>
      </c>
      <c r="S271" s="75">
        <v>0</v>
      </c>
      <c r="T271" s="75">
        <v>0</v>
      </c>
      <c r="U271" s="243"/>
      <c r="V271" s="243"/>
    </row>
    <row r="272" spans="1:22" s="40" customFormat="1" ht="22.9" customHeight="1" x14ac:dyDescent="0.25">
      <c r="A272" s="25">
        <v>3</v>
      </c>
      <c r="B272" s="37" t="s">
        <v>1077</v>
      </c>
      <c r="C272" s="75">
        <f t="shared" si="32"/>
        <v>250106.69</v>
      </c>
      <c r="D272" s="75">
        <f t="shared" si="33"/>
        <v>0</v>
      </c>
      <c r="E272" s="75">
        <v>0</v>
      </c>
      <c r="F272" s="87">
        <v>0</v>
      </c>
      <c r="G272" s="75">
        <v>0</v>
      </c>
      <c r="H272" s="75">
        <v>0</v>
      </c>
      <c r="I272" s="75">
        <v>0</v>
      </c>
      <c r="J272" s="152">
        <v>0</v>
      </c>
      <c r="K272" s="75">
        <v>0</v>
      </c>
      <c r="L272" s="75">
        <v>0</v>
      </c>
      <c r="M272" s="75">
        <v>0</v>
      </c>
      <c r="N272" s="75">
        <v>0</v>
      </c>
      <c r="O272" s="87">
        <v>0</v>
      </c>
      <c r="P272" s="75">
        <v>250106.69</v>
      </c>
      <c r="Q272" s="75">
        <v>0</v>
      </c>
      <c r="R272" s="75">
        <v>0</v>
      </c>
      <c r="S272" s="75">
        <v>0</v>
      </c>
      <c r="T272" s="75">
        <v>0</v>
      </c>
      <c r="U272" s="238"/>
      <c r="V272" s="238"/>
    </row>
    <row r="273" spans="1:39" s="40" customFormat="1" ht="22.9" customHeight="1" x14ac:dyDescent="0.25">
      <c r="A273" s="25">
        <v>4</v>
      </c>
      <c r="B273" s="37" t="s">
        <v>1078</v>
      </c>
      <c r="C273" s="75">
        <f t="shared" si="32"/>
        <v>8575528.8399999999</v>
      </c>
      <c r="D273" s="75">
        <f t="shared" si="33"/>
        <v>0</v>
      </c>
      <c r="E273" s="87">
        <v>0</v>
      </c>
      <c r="F273" s="87">
        <v>0</v>
      </c>
      <c r="G273" s="75">
        <v>0</v>
      </c>
      <c r="H273" s="87">
        <v>0</v>
      </c>
      <c r="I273" s="87">
        <v>0</v>
      </c>
      <c r="J273" s="152">
        <v>0</v>
      </c>
      <c r="K273" s="75">
        <v>0</v>
      </c>
      <c r="L273" s="75">
        <v>8575528.8399999999</v>
      </c>
      <c r="M273" s="75">
        <v>0</v>
      </c>
      <c r="N273" s="75">
        <v>0</v>
      </c>
      <c r="O273" s="75">
        <v>0</v>
      </c>
      <c r="P273" s="87">
        <v>0</v>
      </c>
      <c r="Q273" s="75">
        <v>0</v>
      </c>
      <c r="R273" s="75">
        <v>0</v>
      </c>
      <c r="S273" s="75">
        <v>0</v>
      </c>
      <c r="T273" s="75">
        <v>0</v>
      </c>
      <c r="U273" s="239"/>
      <c r="V273" s="239"/>
    </row>
    <row r="274" spans="1:39" s="40" customFormat="1" ht="22.9" customHeight="1" x14ac:dyDescent="0.25">
      <c r="A274" s="25">
        <v>5</v>
      </c>
      <c r="B274" s="37" t="s">
        <v>1079</v>
      </c>
      <c r="C274" s="75">
        <f t="shared" si="32"/>
        <v>11339980.700000001</v>
      </c>
      <c r="D274" s="75">
        <f t="shared" si="33"/>
        <v>11090688.49</v>
      </c>
      <c r="E274" s="87">
        <v>1532822.4</v>
      </c>
      <c r="F274" s="87">
        <v>8123706</v>
      </c>
      <c r="G274" s="87">
        <v>774554.89</v>
      </c>
      <c r="H274" s="87">
        <v>432420</v>
      </c>
      <c r="I274" s="87">
        <v>227185.2</v>
      </c>
      <c r="J274" s="152">
        <v>0</v>
      </c>
      <c r="K274" s="75">
        <v>0</v>
      </c>
      <c r="L274" s="75">
        <v>0</v>
      </c>
      <c r="M274" s="75">
        <v>0</v>
      </c>
      <c r="N274" s="75">
        <v>0</v>
      </c>
      <c r="O274" s="75">
        <v>0</v>
      </c>
      <c r="P274" s="75">
        <v>249292.21</v>
      </c>
      <c r="Q274" s="75">
        <v>0</v>
      </c>
      <c r="R274" s="75">
        <v>0</v>
      </c>
      <c r="S274" s="75">
        <v>0</v>
      </c>
      <c r="T274" s="75">
        <v>0</v>
      </c>
      <c r="U274" s="239"/>
      <c r="V274" s="239"/>
    </row>
    <row r="275" spans="1:39" s="40" customFormat="1" ht="22.5" customHeight="1" x14ac:dyDescent="0.25">
      <c r="A275" s="25">
        <v>6</v>
      </c>
      <c r="B275" s="37" t="s">
        <v>1080</v>
      </c>
      <c r="C275" s="75">
        <f t="shared" si="32"/>
        <v>5125751.1099999994</v>
      </c>
      <c r="D275" s="75">
        <f t="shared" si="33"/>
        <v>4823651.38</v>
      </c>
      <c r="E275" s="87">
        <v>2693161.2</v>
      </c>
      <c r="F275" s="87">
        <v>0</v>
      </c>
      <c r="G275" s="87">
        <v>1798670.98</v>
      </c>
      <c r="H275" s="87">
        <v>331819.2</v>
      </c>
      <c r="I275" s="87">
        <v>0</v>
      </c>
      <c r="J275" s="152">
        <v>0</v>
      </c>
      <c r="K275" s="75">
        <v>0</v>
      </c>
      <c r="L275" s="75">
        <v>0</v>
      </c>
      <c r="M275" s="75">
        <v>0</v>
      </c>
      <c r="N275" s="75">
        <v>0</v>
      </c>
      <c r="O275" s="75">
        <v>0</v>
      </c>
      <c r="P275" s="87">
        <v>302099.73</v>
      </c>
      <c r="Q275" s="75">
        <v>0</v>
      </c>
      <c r="R275" s="75">
        <v>0</v>
      </c>
      <c r="S275" s="75">
        <v>0</v>
      </c>
      <c r="T275" s="75">
        <v>0</v>
      </c>
      <c r="U275" s="239"/>
      <c r="V275" s="239"/>
    </row>
    <row r="276" spans="1:39" s="40" customFormat="1" ht="22.5" customHeight="1" x14ac:dyDescent="0.25">
      <c r="A276" s="25">
        <v>7</v>
      </c>
      <c r="B276" s="37" t="s">
        <v>1081</v>
      </c>
      <c r="C276" s="75">
        <f t="shared" si="32"/>
        <v>689136.11</v>
      </c>
      <c r="D276" s="75">
        <f t="shared" si="33"/>
        <v>689136.11</v>
      </c>
      <c r="E276" s="87">
        <v>689136.11</v>
      </c>
      <c r="F276" s="87">
        <v>0</v>
      </c>
      <c r="G276" s="75">
        <v>0</v>
      </c>
      <c r="H276" s="75">
        <v>0</v>
      </c>
      <c r="I276" s="87">
        <v>0</v>
      </c>
      <c r="J276" s="152">
        <v>0</v>
      </c>
      <c r="K276" s="75">
        <v>0</v>
      </c>
      <c r="L276" s="75">
        <v>0</v>
      </c>
      <c r="M276" s="75">
        <v>0</v>
      </c>
      <c r="N276" s="75">
        <v>0</v>
      </c>
      <c r="O276" s="75">
        <v>0</v>
      </c>
      <c r="P276" s="87">
        <v>0</v>
      </c>
      <c r="Q276" s="75">
        <v>0</v>
      </c>
      <c r="R276" s="75">
        <v>0</v>
      </c>
      <c r="S276" s="75">
        <v>0</v>
      </c>
      <c r="T276" s="75">
        <v>0</v>
      </c>
      <c r="U276" s="243"/>
      <c r="V276" s="243"/>
    </row>
    <row r="277" spans="1:39" s="40" customFormat="1" ht="22.5" customHeight="1" x14ac:dyDescent="0.25">
      <c r="A277" s="25">
        <v>8</v>
      </c>
      <c r="B277" s="37" t="s">
        <v>1082</v>
      </c>
      <c r="C277" s="75">
        <f t="shared" si="32"/>
        <v>1901927.52</v>
      </c>
      <c r="D277" s="75">
        <f t="shared" si="33"/>
        <v>1758933.63</v>
      </c>
      <c r="E277" s="75">
        <v>519305.6</v>
      </c>
      <c r="F277" s="87">
        <v>1239628.03</v>
      </c>
      <c r="G277" s="75">
        <v>0</v>
      </c>
      <c r="H277" s="75">
        <v>0</v>
      </c>
      <c r="I277" s="75">
        <v>0</v>
      </c>
      <c r="J277" s="152">
        <v>0</v>
      </c>
      <c r="K277" s="75">
        <v>0</v>
      </c>
      <c r="L277" s="75">
        <v>0</v>
      </c>
      <c r="M277" s="75">
        <v>0</v>
      </c>
      <c r="N277" s="87">
        <v>0</v>
      </c>
      <c r="O277" s="87">
        <v>0</v>
      </c>
      <c r="P277" s="87">
        <v>142993.89000000001</v>
      </c>
      <c r="Q277" s="75">
        <v>0</v>
      </c>
      <c r="R277" s="75">
        <v>0</v>
      </c>
      <c r="S277" s="75">
        <v>0</v>
      </c>
      <c r="T277" s="75">
        <v>0</v>
      </c>
      <c r="U277" s="238"/>
      <c r="V277" s="238"/>
    </row>
    <row r="278" spans="1:39" s="40" customFormat="1" ht="22.5" customHeight="1" x14ac:dyDescent="0.25">
      <c r="A278" s="25">
        <v>9</v>
      </c>
      <c r="B278" s="37" t="s">
        <v>1083</v>
      </c>
      <c r="C278" s="75">
        <f t="shared" si="32"/>
        <v>273962.38</v>
      </c>
      <c r="D278" s="75">
        <f t="shared" si="33"/>
        <v>0</v>
      </c>
      <c r="E278" s="75">
        <v>0</v>
      </c>
      <c r="F278" s="87">
        <v>0</v>
      </c>
      <c r="G278" s="75">
        <v>0</v>
      </c>
      <c r="H278" s="75">
        <v>0</v>
      </c>
      <c r="I278" s="75">
        <v>0</v>
      </c>
      <c r="J278" s="152">
        <v>0</v>
      </c>
      <c r="K278" s="75">
        <v>0</v>
      </c>
      <c r="L278" s="75">
        <v>0</v>
      </c>
      <c r="M278" s="75">
        <v>0</v>
      </c>
      <c r="N278" s="87">
        <v>0</v>
      </c>
      <c r="O278" s="87">
        <v>0</v>
      </c>
      <c r="P278" s="87">
        <v>273962.38</v>
      </c>
      <c r="Q278" s="75">
        <v>0</v>
      </c>
      <c r="R278" s="75">
        <v>0</v>
      </c>
      <c r="S278" s="75">
        <v>0</v>
      </c>
      <c r="T278" s="75">
        <v>0</v>
      </c>
      <c r="U278" s="238"/>
      <c r="V278" s="238"/>
    </row>
    <row r="279" spans="1:39" s="40" customFormat="1" ht="22.5" customHeight="1" x14ac:dyDescent="0.25">
      <c r="A279" s="25">
        <v>10</v>
      </c>
      <c r="B279" s="37" t="s">
        <v>1084</v>
      </c>
      <c r="C279" s="75">
        <f t="shared" si="32"/>
        <v>1973856.5599999998</v>
      </c>
      <c r="D279" s="75">
        <f t="shared" si="33"/>
        <v>1761686.89</v>
      </c>
      <c r="E279" s="87">
        <v>0</v>
      </c>
      <c r="F279" s="87">
        <v>1761686.89</v>
      </c>
      <c r="G279" s="87">
        <v>0</v>
      </c>
      <c r="H279" s="87">
        <v>0</v>
      </c>
      <c r="I279" s="87">
        <v>0</v>
      </c>
      <c r="J279" s="240">
        <v>0</v>
      </c>
      <c r="K279" s="87">
        <v>0</v>
      </c>
      <c r="L279" s="87">
        <v>0</v>
      </c>
      <c r="M279" s="87">
        <v>0</v>
      </c>
      <c r="N279" s="87">
        <v>0</v>
      </c>
      <c r="O279" s="87">
        <v>0</v>
      </c>
      <c r="P279" s="87">
        <v>212169.67</v>
      </c>
      <c r="Q279" s="87">
        <v>0</v>
      </c>
      <c r="R279" s="87">
        <v>0</v>
      </c>
      <c r="S279" s="87">
        <v>0</v>
      </c>
      <c r="T279" s="87">
        <v>0</v>
      </c>
      <c r="U279" s="238"/>
      <c r="V279" s="238"/>
    </row>
    <row r="280" spans="1:39" s="23" customFormat="1" ht="20.45" customHeight="1" x14ac:dyDescent="0.25">
      <c r="A280" s="25">
        <v>11</v>
      </c>
      <c r="B280" s="37" t="s">
        <v>1085</v>
      </c>
      <c r="C280" s="75">
        <f t="shared" si="32"/>
        <v>291341.84000000003</v>
      </c>
      <c r="D280" s="75">
        <f t="shared" si="33"/>
        <v>0</v>
      </c>
      <c r="E280" s="75">
        <v>0</v>
      </c>
      <c r="F280" s="87">
        <v>0</v>
      </c>
      <c r="G280" s="75">
        <v>0</v>
      </c>
      <c r="H280" s="75">
        <v>0</v>
      </c>
      <c r="I280" s="75">
        <v>0</v>
      </c>
      <c r="J280" s="152">
        <v>0</v>
      </c>
      <c r="K280" s="75">
        <v>0</v>
      </c>
      <c r="L280" s="75">
        <v>0</v>
      </c>
      <c r="M280" s="75">
        <v>0</v>
      </c>
      <c r="N280" s="87">
        <v>0</v>
      </c>
      <c r="O280" s="87">
        <v>0</v>
      </c>
      <c r="P280" s="87">
        <v>291341.84000000003</v>
      </c>
      <c r="Q280" s="75">
        <v>0</v>
      </c>
      <c r="R280" s="75">
        <v>0</v>
      </c>
      <c r="S280" s="75">
        <v>0</v>
      </c>
      <c r="T280" s="75">
        <v>0</v>
      </c>
      <c r="U280" s="238"/>
      <c r="V280" s="238"/>
    </row>
    <row r="281" spans="1:39" s="23" customFormat="1" ht="20.45" customHeight="1" x14ac:dyDescent="0.25">
      <c r="A281" s="25">
        <v>12</v>
      </c>
      <c r="B281" s="37" t="s">
        <v>1086</v>
      </c>
      <c r="C281" s="75">
        <f t="shared" si="32"/>
        <v>200000</v>
      </c>
      <c r="D281" s="75">
        <f t="shared" si="33"/>
        <v>0</v>
      </c>
      <c r="E281" s="75">
        <v>0</v>
      </c>
      <c r="F281" s="87">
        <v>0</v>
      </c>
      <c r="G281" s="75">
        <v>0</v>
      </c>
      <c r="H281" s="75">
        <v>0</v>
      </c>
      <c r="I281" s="75">
        <v>0</v>
      </c>
      <c r="J281" s="152">
        <v>0</v>
      </c>
      <c r="K281" s="75">
        <v>0</v>
      </c>
      <c r="L281" s="87">
        <v>0</v>
      </c>
      <c r="M281" s="75">
        <v>0</v>
      </c>
      <c r="N281" s="87">
        <v>0</v>
      </c>
      <c r="O281" s="87">
        <v>0</v>
      </c>
      <c r="P281" s="87">
        <v>200000</v>
      </c>
      <c r="Q281" s="75">
        <v>0</v>
      </c>
      <c r="R281" s="75">
        <v>0</v>
      </c>
      <c r="S281" s="75">
        <v>0</v>
      </c>
      <c r="T281" s="75">
        <v>0</v>
      </c>
      <c r="U281" s="238"/>
      <c r="V281" s="238"/>
      <c r="W281" s="186"/>
      <c r="X281" s="186"/>
      <c r="Y281" s="186"/>
      <c r="Z281" s="186"/>
      <c r="AA281" s="186"/>
      <c r="AB281" s="186"/>
      <c r="AC281" s="186"/>
      <c r="AD281" s="186"/>
      <c r="AE281" s="186"/>
      <c r="AF281" s="186"/>
      <c r="AG281" s="186"/>
      <c r="AH281" s="186"/>
      <c r="AI281" s="186"/>
      <c r="AJ281" s="186"/>
      <c r="AK281" s="186"/>
      <c r="AL281" s="186"/>
      <c r="AM281" s="186"/>
    </row>
    <row r="282" spans="1:39" s="44" customFormat="1" ht="22.15" customHeight="1" x14ac:dyDescent="0.25">
      <c r="A282" s="25">
        <v>13</v>
      </c>
      <c r="B282" s="37" t="s">
        <v>1087</v>
      </c>
      <c r="C282" s="75">
        <f t="shared" si="32"/>
        <v>9505701.3100000005</v>
      </c>
      <c r="D282" s="75">
        <f t="shared" si="33"/>
        <v>0</v>
      </c>
      <c r="E282" s="87">
        <v>0</v>
      </c>
      <c r="F282" s="87">
        <v>0</v>
      </c>
      <c r="G282" s="75">
        <v>0</v>
      </c>
      <c r="H282" s="87">
        <v>0</v>
      </c>
      <c r="I282" s="87">
        <v>0</v>
      </c>
      <c r="J282" s="152">
        <v>0</v>
      </c>
      <c r="K282" s="75">
        <v>0</v>
      </c>
      <c r="L282" s="87">
        <v>9193413.3800000008</v>
      </c>
      <c r="M282" s="75">
        <v>0</v>
      </c>
      <c r="N282" s="75">
        <v>0</v>
      </c>
      <c r="O282" s="75">
        <v>0</v>
      </c>
      <c r="P282" s="87">
        <v>312287.93</v>
      </c>
      <c r="Q282" s="75">
        <v>0</v>
      </c>
      <c r="R282" s="75">
        <v>0</v>
      </c>
      <c r="S282" s="75">
        <v>0</v>
      </c>
      <c r="T282" s="75">
        <v>0</v>
      </c>
      <c r="U282" s="239"/>
      <c r="V282" s="239"/>
    </row>
    <row r="283" spans="1:39" s="44" customFormat="1" ht="22.15" customHeight="1" x14ac:dyDescent="0.25">
      <c r="A283" s="25">
        <v>14</v>
      </c>
      <c r="B283" s="37" t="s">
        <v>1088</v>
      </c>
      <c r="C283" s="75">
        <f t="shared" si="32"/>
        <v>1930616.82</v>
      </c>
      <c r="D283" s="75">
        <f t="shared" si="33"/>
        <v>1527980.3</v>
      </c>
      <c r="E283" s="87">
        <v>0</v>
      </c>
      <c r="F283" s="87">
        <v>1527980.3</v>
      </c>
      <c r="G283" s="75">
        <v>0</v>
      </c>
      <c r="H283" s="75">
        <v>0</v>
      </c>
      <c r="I283" s="87">
        <v>0</v>
      </c>
      <c r="J283" s="152">
        <v>0</v>
      </c>
      <c r="K283" s="75">
        <v>0</v>
      </c>
      <c r="L283" s="75">
        <v>0</v>
      </c>
      <c r="M283" s="75">
        <v>0</v>
      </c>
      <c r="N283" s="75">
        <v>0</v>
      </c>
      <c r="O283" s="75">
        <v>0</v>
      </c>
      <c r="P283" s="87">
        <v>402636.52</v>
      </c>
      <c r="Q283" s="75">
        <v>0</v>
      </c>
      <c r="R283" s="75">
        <v>0</v>
      </c>
      <c r="S283" s="75">
        <v>0</v>
      </c>
      <c r="T283" s="75">
        <v>0</v>
      </c>
      <c r="U283" s="239"/>
      <c r="V283" s="239"/>
    </row>
    <row r="284" spans="1:39" s="44" customFormat="1" ht="22.15" customHeight="1" x14ac:dyDescent="0.25">
      <c r="A284" s="25">
        <v>15</v>
      </c>
      <c r="B284" s="37" t="s">
        <v>381</v>
      </c>
      <c r="C284" s="75">
        <f t="shared" si="32"/>
        <v>1998277.4</v>
      </c>
      <c r="D284" s="75">
        <f t="shared" si="33"/>
        <v>0</v>
      </c>
      <c r="E284" s="87">
        <v>0</v>
      </c>
      <c r="F284" s="87">
        <v>0</v>
      </c>
      <c r="G284" s="75">
        <v>0</v>
      </c>
      <c r="H284" s="75">
        <v>0</v>
      </c>
      <c r="I284" s="87">
        <v>0</v>
      </c>
      <c r="J284" s="152">
        <v>0</v>
      </c>
      <c r="K284" s="75">
        <v>0</v>
      </c>
      <c r="L284" s="75">
        <v>1998277.4</v>
      </c>
      <c r="M284" s="75">
        <v>0</v>
      </c>
      <c r="N284" s="75">
        <v>0</v>
      </c>
      <c r="O284" s="75">
        <v>0</v>
      </c>
      <c r="P284" s="87">
        <v>0</v>
      </c>
      <c r="Q284" s="75">
        <v>0</v>
      </c>
      <c r="R284" s="75">
        <v>0</v>
      </c>
      <c r="S284" s="75">
        <v>0</v>
      </c>
      <c r="T284" s="75">
        <v>0</v>
      </c>
      <c r="U284" s="239"/>
      <c r="V284" s="239"/>
    </row>
    <row r="285" spans="1:39" s="23" customFormat="1" ht="22.15" customHeight="1" x14ac:dyDescent="0.25">
      <c r="A285" s="326" t="s">
        <v>382</v>
      </c>
      <c r="B285" s="326"/>
      <c r="C285" s="118">
        <f t="shared" ref="C285:T285" si="34">SUM(C286:C301)</f>
        <v>15563709.579999996</v>
      </c>
      <c r="D285" s="118">
        <f t="shared" si="34"/>
        <v>11896993.999999998</v>
      </c>
      <c r="E285" s="118">
        <f t="shared" si="34"/>
        <v>2538901.1999999997</v>
      </c>
      <c r="F285" s="118">
        <f t="shared" si="34"/>
        <v>9358092.8000000007</v>
      </c>
      <c r="G285" s="118">
        <f t="shared" si="34"/>
        <v>0</v>
      </c>
      <c r="H285" s="118">
        <f t="shared" si="34"/>
        <v>0</v>
      </c>
      <c r="I285" s="118">
        <f t="shared" si="34"/>
        <v>0</v>
      </c>
      <c r="J285" s="119">
        <f t="shared" si="34"/>
        <v>0</v>
      </c>
      <c r="K285" s="118">
        <f t="shared" si="34"/>
        <v>0</v>
      </c>
      <c r="L285" s="118">
        <f t="shared" si="34"/>
        <v>2367814.96</v>
      </c>
      <c r="M285" s="118">
        <f t="shared" si="34"/>
        <v>0</v>
      </c>
      <c r="N285" s="118">
        <f t="shared" si="34"/>
        <v>1298900.6200000001</v>
      </c>
      <c r="O285" s="118">
        <f t="shared" si="34"/>
        <v>0</v>
      </c>
      <c r="P285" s="118">
        <f t="shared" si="34"/>
        <v>0</v>
      </c>
      <c r="Q285" s="118">
        <f t="shared" si="34"/>
        <v>0</v>
      </c>
      <c r="R285" s="118">
        <f t="shared" si="34"/>
        <v>0</v>
      </c>
      <c r="S285" s="118">
        <f t="shared" si="34"/>
        <v>0</v>
      </c>
      <c r="T285" s="118">
        <f t="shared" si="34"/>
        <v>0</v>
      </c>
      <c r="U285" s="238"/>
      <c r="V285" s="238"/>
    </row>
    <row r="286" spans="1:39" s="23" customFormat="1" ht="22.15" customHeight="1" x14ac:dyDescent="0.25">
      <c r="A286" s="25">
        <v>1</v>
      </c>
      <c r="B286" s="37" t="s">
        <v>383</v>
      </c>
      <c r="C286" s="75">
        <f t="shared" ref="C286:C301" si="35">D286+K286+L286+M286+N286+O286+P286+Q286+R286+S286+T286</f>
        <v>500881.53</v>
      </c>
      <c r="D286" s="75">
        <f t="shared" ref="D286:D301" si="36">SUM(E286:I286)</f>
        <v>500881.53</v>
      </c>
      <c r="E286" s="75">
        <v>0</v>
      </c>
      <c r="F286" s="42">
        <v>500881.53</v>
      </c>
      <c r="G286" s="42">
        <v>0</v>
      </c>
      <c r="H286" s="42">
        <v>0</v>
      </c>
      <c r="I286" s="42">
        <v>0</v>
      </c>
      <c r="J286" s="43">
        <v>0</v>
      </c>
      <c r="K286" s="42">
        <v>0</v>
      </c>
      <c r="L286" s="42">
        <v>0</v>
      </c>
      <c r="M286" s="42">
        <v>0</v>
      </c>
      <c r="N286" s="42">
        <v>0</v>
      </c>
      <c r="O286" s="42">
        <v>0</v>
      </c>
      <c r="P286" s="42">
        <v>0</v>
      </c>
      <c r="Q286" s="42">
        <v>0</v>
      </c>
      <c r="R286" s="42">
        <v>0</v>
      </c>
      <c r="S286" s="42">
        <v>0</v>
      </c>
      <c r="T286" s="42">
        <v>0</v>
      </c>
      <c r="U286" s="238"/>
      <c r="V286" s="238"/>
    </row>
    <row r="287" spans="1:39" s="23" customFormat="1" ht="22.15" customHeight="1" x14ac:dyDescent="0.25">
      <c r="A287" s="25">
        <v>2</v>
      </c>
      <c r="B287" s="37" t="s">
        <v>385</v>
      </c>
      <c r="C287" s="75">
        <f t="shared" si="35"/>
        <v>1606329.87</v>
      </c>
      <c r="D287" s="75">
        <f t="shared" si="36"/>
        <v>1606329.87</v>
      </c>
      <c r="E287" s="75">
        <v>0</v>
      </c>
      <c r="F287" s="42">
        <v>1606329.87</v>
      </c>
      <c r="G287" s="42">
        <v>0</v>
      </c>
      <c r="H287" s="42">
        <v>0</v>
      </c>
      <c r="I287" s="42">
        <v>0</v>
      </c>
      <c r="J287" s="43">
        <v>0</v>
      </c>
      <c r="K287" s="42">
        <v>0</v>
      </c>
      <c r="L287" s="42">
        <v>0</v>
      </c>
      <c r="M287" s="42">
        <v>0</v>
      </c>
      <c r="N287" s="42">
        <v>0</v>
      </c>
      <c r="O287" s="42">
        <v>0</v>
      </c>
      <c r="P287" s="42">
        <v>0</v>
      </c>
      <c r="Q287" s="42">
        <v>0</v>
      </c>
      <c r="R287" s="42">
        <v>0</v>
      </c>
      <c r="S287" s="42">
        <v>0</v>
      </c>
      <c r="T287" s="42">
        <v>0</v>
      </c>
      <c r="U287" s="238"/>
      <c r="V287" s="238"/>
    </row>
    <row r="288" spans="1:39" s="23" customFormat="1" ht="22.15" customHeight="1" x14ac:dyDescent="0.25">
      <c r="A288" s="25">
        <v>3</v>
      </c>
      <c r="B288" s="37" t="s">
        <v>386</v>
      </c>
      <c r="C288" s="75">
        <f t="shared" si="35"/>
        <v>1625844.75</v>
      </c>
      <c r="D288" s="75">
        <f t="shared" si="36"/>
        <v>1625844.75</v>
      </c>
      <c r="E288" s="75">
        <v>0</v>
      </c>
      <c r="F288" s="42">
        <v>1625844.75</v>
      </c>
      <c r="G288" s="42">
        <v>0</v>
      </c>
      <c r="H288" s="42">
        <v>0</v>
      </c>
      <c r="I288" s="42">
        <v>0</v>
      </c>
      <c r="J288" s="43">
        <v>0</v>
      </c>
      <c r="K288" s="42">
        <v>0</v>
      </c>
      <c r="L288" s="42">
        <v>0</v>
      </c>
      <c r="M288" s="42">
        <v>0</v>
      </c>
      <c r="N288" s="42">
        <v>0</v>
      </c>
      <c r="O288" s="42">
        <v>0</v>
      </c>
      <c r="P288" s="42">
        <v>0</v>
      </c>
      <c r="Q288" s="42">
        <v>0</v>
      </c>
      <c r="R288" s="42">
        <v>0</v>
      </c>
      <c r="S288" s="42">
        <v>0</v>
      </c>
      <c r="T288" s="42">
        <v>0</v>
      </c>
      <c r="U288" s="238"/>
      <c r="V288" s="238"/>
    </row>
    <row r="289" spans="1:39" s="23" customFormat="1" ht="22.15" customHeight="1" x14ac:dyDescent="0.25">
      <c r="A289" s="25">
        <v>4</v>
      </c>
      <c r="B289" s="37" t="s">
        <v>387</v>
      </c>
      <c r="C289" s="75">
        <f t="shared" si="35"/>
        <v>950823.64</v>
      </c>
      <c r="D289" s="75">
        <f t="shared" si="36"/>
        <v>950823.64</v>
      </c>
      <c r="E289" s="75">
        <v>0</v>
      </c>
      <c r="F289" s="42">
        <v>950823.64</v>
      </c>
      <c r="G289" s="42">
        <v>0</v>
      </c>
      <c r="H289" s="42">
        <v>0</v>
      </c>
      <c r="I289" s="42">
        <v>0</v>
      </c>
      <c r="J289" s="43">
        <v>0</v>
      </c>
      <c r="K289" s="42">
        <v>0</v>
      </c>
      <c r="L289" s="42">
        <v>0</v>
      </c>
      <c r="M289" s="42">
        <v>0</v>
      </c>
      <c r="N289" s="42">
        <v>0</v>
      </c>
      <c r="O289" s="42">
        <v>0</v>
      </c>
      <c r="P289" s="42">
        <v>0</v>
      </c>
      <c r="Q289" s="42">
        <v>0</v>
      </c>
      <c r="R289" s="42">
        <v>0</v>
      </c>
      <c r="S289" s="42">
        <v>0</v>
      </c>
      <c r="T289" s="42">
        <v>0</v>
      </c>
      <c r="U289" s="238"/>
      <c r="V289" s="238"/>
    </row>
    <row r="290" spans="1:39" s="23" customFormat="1" ht="22.15" customHeight="1" x14ac:dyDescent="0.25">
      <c r="A290" s="25">
        <v>5</v>
      </c>
      <c r="B290" s="37" t="s">
        <v>388</v>
      </c>
      <c r="C290" s="75">
        <f t="shared" si="35"/>
        <v>583927.49</v>
      </c>
      <c r="D290" s="75">
        <f t="shared" si="36"/>
        <v>583927.49</v>
      </c>
      <c r="E290" s="75">
        <v>0</v>
      </c>
      <c r="F290" s="42">
        <v>583927.49</v>
      </c>
      <c r="G290" s="42">
        <v>0</v>
      </c>
      <c r="H290" s="42">
        <v>0</v>
      </c>
      <c r="I290" s="42">
        <v>0</v>
      </c>
      <c r="J290" s="43">
        <v>0</v>
      </c>
      <c r="K290" s="42">
        <v>0</v>
      </c>
      <c r="L290" s="42">
        <v>0</v>
      </c>
      <c r="M290" s="42">
        <v>0</v>
      </c>
      <c r="N290" s="42">
        <v>0</v>
      </c>
      <c r="O290" s="42">
        <v>0</v>
      </c>
      <c r="P290" s="42">
        <v>0</v>
      </c>
      <c r="Q290" s="42">
        <v>0</v>
      </c>
      <c r="R290" s="42">
        <v>0</v>
      </c>
      <c r="S290" s="42">
        <v>0</v>
      </c>
      <c r="T290" s="42">
        <v>0</v>
      </c>
      <c r="U290" s="238"/>
      <c r="V290" s="238"/>
    </row>
    <row r="291" spans="1:39" s="23" customFormat="1" ht="22.15" customHeight="1" x14ac:dyDescent="0.25">
      <c r="A291" s="25">
        <v>6</v>
      </c>
      <c r="B291" s="37" t="s">
        <v>389</v>
      </c>
      <c r="C291" s="75">
        <f t="shared" si="35"/>
        <v>1520137.17</v>
      </c>
      <c r="D291" s="75">
        <f t="shared" si="36"/>
        <v>1520137.17</v>
      </c>
      <c r="E291" s="75">
        <v>0</v>
      </c>
      <c r="F291" s="42">
        <v>1520137.17</v>
      </c>
      <c r="G291" s="42">
        <v>0</v>
      </c>
      <c r="H291" s="42">
        <v>0</v>
      </c>
      <c r="I291" s="42">
        <v>0</v>
      </c>
      <c r="J291" s="43">
        <v>0</v>
      </c>
      <c r="K291" s="42">
        <v>0</v>
      </c>
      <c r="L291" s="42">
        <v>0</v>
      </c>
      <c r="M291" s="42">
        <v>0</v>
      </c>
      <c r="N291" s="42">
        <v>0</v>
      </c>
      <c r="O291" s="42">
        <v>0</v>
      </c>
      <c r="P291" s="42">
        <v>0</v>
      </c>
      <c r="Q291" s="42">
        <v>0</v>
      </c>
      <c r="R291" s="42">
        <v>0</v>
      </c>
      <c r="S291" s="42">
        <v>0</v>
      </c>
      <c r="T291" s="42">
        <v>0</v>
      </c>
      <c r="U291" s="238"/>
      <c r="V291" s="238"/>
    </row>
    <row r="292" spans="1:39" s="23" customFormat="1" ht="22.15" customHeight="1" x14ac:dyDescent="0.25">
      <c r="A292" s="25">
        <v>7</v>
      </c>
      <c r="B292" s="37" t="s">
        <v>390</v>
      </c>
      <c r="C292" s="75">
        <f t="shared" si="35"/>
        <v>649450.31000000006</v>
      </c>
      <c r="D292" s="75">
        <f t="shared" si="36"/>
        <v>0</v>
      </c>
      <c r="E292" s="75">
        <v>0</v>
      </c>
      <c r="F292" s="42">
        <v>0</v>
      </c>
      <c r="G292" s="42">
        <v>0</v>
      </c>
      <c r="H292" s="42">
        <v>0</v>
      </c>
      <c r="I292" s="42">
        <v>0</v>
      </c>
      <c r="J292" s="43">
        <v>0</v>
      </c>
      <c r="K292" s="42">
        <v>0</v>
      </c>
      <c r="L292" s="42">
        <v>0</v>
      </c>
      <c r="M292" s="42">
        <v>0</v>
      </c>
      <c r="N292" s="42">
        <v>649450.31000000006</v>
      </c>
      <c r="O292" s="42">
        <v>0</v>
      </c>
      <c r="P292" s="42">
        <v>0</v>
      </c>
      <c r="Q292" s="42">
        <v>0</v>
      </c>
      <c r="R292" s="42">
        <v>0</v>
      </c>
      <c r="S292" s="42">
        <v>0</v>
      </c>
      <c r="T292" s="42">
        <v>0</v>
      </c>
      <c r="U292" s="238"/>
      <c r="V292" s="238"/>
    </row>
    <row r="293" spans="1:39" s="23" customFormat="1" ht="22.15" customHeight="1" x14ac:dyDescent="0.25">
      <c r="A293" s="25">
        <v>8</v>
      </c>
      <c r="B293" s="37" t="s">
        <v>391</v>
      </c>
      <c r="C293" s="75">
        <f t="shared" si="35"/>
        <v>649450.31000000006</v>
      </c>
      <c r="D293" s="75">
        <f t="shared" si="36"/>
        <v>0</v>
      </c>
      <c r="E293" s="75">
        <v>0</v>
      </c>
      <c r="F293" s="42">
        <v>0</v>
      </c>
      <c r="G293" s="42">
        <v>0</v>
      </c>
      <c r="H293" s="42">
        <v>0</v>
      </c>
      <c r="I293" s="42">
        <v>0</v>
      </c>
      <c r="J293" s="43">
        <v>0</v>
      </c>
      <c r="K293" s="42">
        <v>0</v>
      </c>
      <c r="L293" s="42">
        <v>0</v>
      </c>
      <c r="M293" s="42">
        <v>0</v>
      </c>
      <c r="N293" s="42">
        <v>649450.31000000006</v>
      </c>
      <c r="O293" s="42">
        <v>0</v>
      </c>
      <c r="P293" s="42">
        <v>0</v>
      </c>
      <c r="Q293" s="42">
        <v>0</v>
      </c>
      <c r="R293" s="42">
        <v>0</v>
      </c>
      <c r="S293" s="42">
        <v>0</v>
      </c>
      <c r="T293" s="42">
        <v>0</v>
      </c>
      <c r="U293" s="238"/>
      <c r="V293" s="238"/>
    </row>
    <row r="294" spans="1:39" s="23" customFormat="1" ht="22.15" customHeight="1" x14ac:dyDescent="0.25">
      <c r="A294" s="25">
        <v>9</v>
      </c>
      <c r="B294" s="37" t="s">
        <v>1089</v>
      </c>
      <c r="C294" s="75">
        <f t="shared" si="35"/>
        <v>596733.35</v>
      </c>
      <c r="D294" s="75">
        <f t="shared" si="36"/>
        <v>596733.35</v>
      </c>
      <c r="E294" s="75">
        <v>0</v>
      </c>
      <c r="F294" s="42">
        <v>596733.35</v>
      </c>
      <c r="G294" s="42">
        <v>0</v>
      </c>
      <c r="H294" s="42">
        <v>0</v>
      </c>
      <c r="I294" s="42">
        <v>0</v>
      </c>
      <c r="J294" s="43">
        <v>0</v>
      </c>
      <c r="K294" s="42">
        <v>0</v>
      </c>
      <c r="L294" s="42">
        <v>0</v>
      </c>
      <c r="M294" s="42">
        <v>0</v>
      </c>
      <c r="N294" s="42">
        <v>0</v>
      </c>
      <c r="O294" s="42">
        <v>0</v>
      </c>
      <c r="P294" s="42">
        <v>0</v>
      </c>
      <c r="Q294" s="42">
        <v>0</v>
      </c>
      <c r="R294" s="42">
        <v>0</v>
      </c>
      <c r="S294" s="42">
        <v>0</v>
      </c>
      <c r="T294" s="42">
        <v>0</v>
      </c>
      <c r="U294" s="238"/>
      <c r="V294" s="238"/>
    </row>
    <row r="295" spans="1:39" s="23" customFormat="1" ht="22.15" customHeight="1" x14ac:dyDescent="0.25">
      <c r="A295" s="25">
        <v>10</v>
      </c>
      <c r="B295" s="37" t="s">
        <v>393</v>
      </c>
      <c r="C295" s="75">
        <f t="shared" si="35"/>
        <v>2367814.96</v>
      </c>
      <c r="D295" s="75">
        <f t="shared" si="36"/>
        <v>0</v>
      </c>
      <c r="E295" s="75">
        <v>0</v>
      </c>
      <c r="F295" s="42">
        <v>0</v>
      </c>
      <c r="G295" s="42">
        <v>0</v>
      </c>
      <c r="H295" s="42">
        <v>0</v>
      </c>
      <c r="I295" s="42">
        <v>0</v>
      </c>
      <c r="J295" s="43">
        <v>0</v>
      </c>
      <c r="K295" s="42">
        <v>0</v>
      </c>
      <c r="L295" s="42">
        <v>2367814.96</v>
      </c>
      <c r="M295" s="42">
        <v>0</v>
      </c>
      <c r="N295" s="42">
        <v>0</v>
      </c>
      <c r="O295" s="42">
        <v>0</v>
      </c>
      <c r="P295" s="42">
        <v>0</v>
      </c>
      <c r="Q295" s="42">
        <v>0</v>
      </c>
      <c r="R295" s="42">
        <v>0</v>
      </c>
      <c r="S295" s="42">
        <v>0</v>
      </c>
      <c r="T295" s="42">
        <v>0</v>
      </c>
      <c r="U295" s="238"/>
      <c r="V295" s="238"/>
    </row>
    <row r="296" spans="1:39" s="23" customFormat="1" ht="22.15" customHeight="1" x14ac:dyDescent="0.25">
      <c r="A296" s="25">
        <v>11</v>
      </c>
      <c r="B296" s="37" t="s">
        <v>394</v>
      </c>
      <c r="C296" s="75">
        <f t="shared" si="35"/>
        <v>1973415</v>
      </c>
      <c r="D296" s="75">
        <f t="shared" si="36"/>
        <v>1973415</v>
      </c>
      <c r="E296" s="75">
        <v>0</v>
      </c>
      <c r="F296" s="42">
        <v>1973415</v>
      </c>
      <c r="G296" s="42">
        <v>0</v>
      </c>
      <c r="H296" s="42">
        <v>0</v>
      </c>
      <c r="I296" s="42">
        <v>0</v>
      </c>
      <c r="J296" s="43">
        <v>0</v>
      </c>
      <c r="K296" s="42">
        <v>0</v>
      </c>
      <c r="L296" s="42">
        <v>0</v>
      </c>
      <c r="M296" s="42">
        <v>0</v>
      </c>
      <c r="N296" s="42">
        <v>0</v>
      </c>
      <c r="O296" s="42">
        <v>0</v>
      </c>
      <c r="P296" s="42">
        <v>0</v>
      </c>
      <c r="Q296" s="42">
        <v>0</v>
      </c>
      <c r="R296" s="42">
        <v>0</v>
      </c>
      <c r="S296" s="42">
        <v>0</v>
      </c>
      <c r="T296" s="42">
        <v>0</v>
      </c>
      <c r="U296" s="238"/>
      <c r="V296" s="238"/>
    </row>
    <row r="297" spans="1:39" s="23" customFormat="1" ht="22.15" customHeight="1" x14ac:dyDescent="0.25">
      <c r="A297" s="25">
        <v>12</v>
      </c>
      <c r="B297" s="26" t="s">
        <v>395</v>
      </c>
      <c r="C297" s="75">
        <f t="shared" si="35"/>
        <v>563467.19999999995</v>
      </c>
      <c r="D297" s="75">
        <f t="shared" si="36"/>
        <v>563467.19999999995</v>
      </c>
      <c r="E297" s="75">
        <v>563467.19999999995</v>
      </c>
      <c r="F297" s="42">
        <v>0</v>
      </c>
      <c r="G297" s="42">
        <v>0</v>
      </c>
      <c r="H297" s="42">
        <v>0</v>
      </c>
      <c r="I297" s="42">
        <v>0</v>
      </c>
      <c r="J297" s="43">
        <v>0</v>
      </c>
      <c r="K297" s="42">
        <v>0</v>
      </c>
      <c r="L297" s="42">
        <v>0</v>
      </c>
      <c r="M297" s="42">
        <v>0</v>
      </c>
      <c r="N297" s="42">
        <v>0</v>
      </c>
      <c r="O297" s="42">
        <v>0</v>
      </c>
      <c r="P297" s="42">
        <v>0</v>
      </c>
      <c r="Q297" s="42">
        <v>0</v>
      </c>
      <c r="R297" s="42">
        <v>0</v>
      </c>
      <c r="S297" s="42">
        <v>0</v>
      </c>
      <c r="T297" s="42">
        <v>0</v>
      </c>
      <c r="U297" s="238"/>
      <c r="V297" s="238"/>
    </row>
    <row r="298" spans="1:39" s="23" customFormat="1" ht="22.15" customHeight="1" x14ac:dyDescent="0.25">
      <c r="A298" s="25">
        <v>13</v>
      </c>
      <c r="B298" s="26" t="s">
        <v>396</v>
      </c>
      <c r="C298" s="75">
        <f t="shared" si="35"/>
        <v>571321.19999999995</v>
      </c>
      <c r="D298" s="75">
        <f t="shared" si="36"/>
        <v>571321.19999999995</v>
      </c>
      <c r="E298" s="75">
        <v>571321.19999999995</v>
      </c>
      <c r="F298" s="42">
        <v>0</v>
      </c>
      <c r="G298" s="42">
        <v>0</v>
      </c>
      <c r="H298" s="42">
        <v>0</v>
      </c>
      <c r="I298" s="42">
        <v>0</v>
      </c>
      <c r="J298" s="43">
        <v>0</v>
      </c>
      <c r="K298" s="42">
        <v>0</v>
      </c>
      <c r="L298" s="42">
        <v>0</v>
      </c>
      <c r="M298" s="42">
        <v>0</v>
      </c>
      <c r="N298" s="42">
        <v>0</v>
      </c>
      <c r="O298" s="42">
        <v>0</v>
      </c>
      <c r="P298" s="42">
        <v>0</v>
      </c>
      <c r="Q298" s="42">
        <v>0</v>
      </c>
      <c r="R298" s="42">
        <v>0</v>
      </c>
      <c r="S298" s="42">
        <v>0</v>
      </c>
      <c r="T298" s="42">
        <v>0</v>
      </c>
      <c r="U298" s="238"/>
      <c r="V298" s="238"/>
    </row>
    <row r="299" spans="1:39" s="23" customFormat="1" ht="22.15" customHeight="1" x14ac:dyDescent="0.25">
      <c r="A299" s="25">
        <v>14</v>
      </c>
      <c r="B299" s="26" t="s">
        <v>397</v>
      </c>
      <c r="C299" s="75">
        <f t="shared" si="35"/>
        <v>463123.20000000001</v>
      </c>
      <c r="D299" s="75">
        <f t="shared" si="36"/>
        <v>463123.20000000001</v>
      </c>
      <c r="E299" s="75">
        <v>463123.20000000001</v>
      </c>
      <c r="F299" s="75">
        <v>0</v>
      </c>
      <c r="G299" s="75">
        <v>0</v>
      </c>
      <c r="H299" s="75">
        <v>0</v>
      </c>
      <c r="I299" s="75">
        <v>0</v>
      </c>
      <c r="J299" s="152">
        <v>0</v>
      </c>
      <c r="K299" s="75">
        <v>0</v>
      </c>
      <c r="L299" s="75">
        <v>0</v>
      </c>
      <c r="M299" s="75">
        <v>0</v>
      </c>
      <c r="N299" s="75">
        <v>0</v>
      </c>
      <c r="O299" s="75">
        <v>0</v>
      </c>
      <c r="P299" s="75">
        <v>0</v>
      </c>
      <c r="Q299" s="75">
        <v>0</v>
      </c>
      <c r="R299" s="75">
        <v>0</v>
      </c>
      <c r="S299" s="75">
        <v>0</v>
      </c>
      <c r="T299" s="75">
        <v>0</v>
      </c>
      <c r="U299" s="238"/>
      <c r="V299" s="238"/>
    </row>
    <row r="300" spans="1:39" s="23" customFormat="1" ht="22.15" customHeight="1" x14ac:dyDescent="0.25">
      <c r="A300" s="25">
        <v>15</v>
      </c>
      <c r="B300" s="26" t="s">
        <v>398</v>
      </c>
      <c r="C300" s="75">
        <f t="shared" si="35"/>
        <v>472386</v>
      </c>
      <c r="D300" s="75">
        <f t="shared" si="36"/>
        <v>472386</v>
      </c>
      <c r="E300" s="75">
        <v>472386</v>
      </c>
      <c r="F300" s="75">
        <v>0</v>
      </c>
      <c r="G300" s="75">
        <v>0</v>
      </c>
      <c r="H300" s="75">
        <v>0</v>
      </c>
      <c r="I300" s="75">
        <v>0</v>
      </c>
      <c r="J300" s="152">
        <v>0</v>
      </c>
      <c r="K300" s="75">
        <v>0</v>
      </c>
      <c r="L300" s="75">
        <v>0</v>
      </c>
      <c r="M300" s="75">
        <v>0</v>
      </c>
      <c r="N300" s="75">
        <v>0</v>
      </c>
      <c r="O300" s="75">
        <v>0</v>
      </c>
      <c r="P300" s="75">
        <v>0</v>
      </c>
      <c r="Q300" s="75">
        <v>0</v>
      </c>
      <c r="R300" s="75">
        <v>0</v>
      </c>
      <c r="S300" s="75">
        <v>0</v>
      </c>
      <c r="T300" s="75">
        <v>0</v>
      </c>
      <c r="U300" s="238"/>
      <c r="V300" s="238"/>
    </row>
    <row r="301" spans="1:39" s="23" customFormat="1" ht="22.15" customHeight="1" x14ac:dyDescent="0.25">
      <c r="A301" s="25">
        <v>16</v>
      </c>
      <c r="B301" s="26" t="s">
        <v>399</v>
      </c>
      <c r="C301" s="75">
        <f t="shared" si="35"/>
        <v>468603.6</v>
      </c>
      <c r="D301" s="75">
        <f t="shared" si="36"/>
        <v>468603.6</v>
      </c>
      <c r="E301" s="75">
        <v>468603.6</v>
      </c>
      <c r="F301" s="42">
        <v>0</v>
      </c>
      <c r="G301" s="42">
        <v>0</v>
      </c>
      <c r="H301" s="42">
        <v>0</v>
      </c>
      <c r="I301" s="42">
        <v>0</v>
      </c>
      <c r="J301" s="43">
        <v>0</v>
      </c>
      <c r="K301" s="42">
        <v>0</v>
      </c>
      <c r="L301" s="42">
        <v>0</v>
      </c>
      <c r="M301" s="42">
        <v>0</v>
      </c>
      <c r="N301" s="42">
        <v>0</v>
      </c>
      <c r="O301" s="42">
        <v>0</v>
      </c>
      <c r="P301" s="42">
        <v>0</v>
      </c>
      <c r="Q301" s="42">
        <v>0</v>
      </c>
      <c r="R301" s="42">
        <v>0</v>
      </c>
      <c r="S301" s="42">
        <v>0</v>
      </c>
      <c r="T301" s="42">
        <v>0</v>
      </c>
      <c r="U301" s="238"/>
      <c r="V301" s="238"/>
    </row>
    <row r="302" spans="1:39" s="23" customFormat="1" ht="22.15" customHeight="1" x14ac:dyDescent="0.2">
      <c r="A302" s="322" t="s">
        <v>400</v>
      </c>
      <c r="B302" s="322"/>
      <c r="C302" s="118">
        <f t="shared" ref="C302:T302" si="37">SUM(C303:C304)</f>
        <v>2246914.9700000002</v>
      </c>
      <c r="D302" s="118">
        <f t="shared" si="37"/>
        <v>0</v>
      </c>
      <c r="E302" s="118">
        <f t="shared" si="37"/>
        <v>0</v>
      </c>
      <c r="F302" s="118">
        <f t="shared" si="37"/>
        <v>0</v>
      </c>
      <c r="G302" s="118">
        <f t="shared" si="37"/>
        <v>0</v>
      </c>
      <c r="H302" s="118">
        <f t="shared" si="37"/>
        <v>0</v>
      </c>
      <c r="I302" s="118">
        <f t="shared" si="37"/>
        <v>0</v>
      </c>
      <c r="J302" s="119">
        <f t="shared" si="37"/>
        <v>0</v>
      </c>
      <c r="K302" s="118">
        <f t="shared" si="37"/>
        <v>0</v>
      </c>
      <c r="L302" s="118">
        <f t="shared" si="37"/>
        <v>0</v>
      </c>
      <c r="M302" s="118">
        <f t="shared" si="37"/>
        <v>0</v>
      </c>
      <c r="N302" s="118">
        <f t="shared" si="37"/>
        <v>2246914.9700000002</v>
      </c>
      <c r="O302" s="118">
        <f t="shared" si="37"/>
        <v>0</v>
      </c>
      <c r="P302" s="118">
        <f t="shared" si="37"/>
        <v>0</v>
      </c>
      <c r="Q302" s="118">
        <f t="shared" si="37"/>
        <v>0</v>
      </c>
      <c r="R302" s="118">
        <f t="shared" si="37"/>
        <v>0</v>
      </c>
      <c r="S302" s="118">
        <f t="shared" si="37"/>
        <v>0</v>
      </c>
      <c r="T302" s="118">
        <f t="shared" si="37"/>
        <v>0</v>
      </c>
    </row>
    <row r="303" spans="1:39" s="44" customFormat="1" ht="22.15" customHeight="1" x14ac:dyDescent="0.25">
      <c r="A303" s="28">
        <v>1</v>
      </c>
      <c r="B303" s="64" t="s">
        <v>401</v>
      </c>
      <c r="C303" s="75">
        <f t="shared" ref="C303:C304" si="38">D303+K303+L303+M303+N303+O303+P303+Q303+R303+S303+T303</f>
        <v>1043035.16</v>
      </c>
      <c r="D303" s="75">
        <f t="shared" ref="D303:D304" si="39">SUM(E303:I303)</f>
        <v>0</v>
      </c>
      <c r="E303" s="32">
        <v>0</v>
      </c>
      <c r="F303" s="83">
        <v>0</v>
      </c>
      <c r="G303" s="32">
        <v>0</v>
      </c>
      <c r="H303" s="83">
        <v>0</v>
      </c>
      <c r="I303" s="32">
        <v>0</v>
      </c>
      <c r="J303" s="35">
        <v>0</v>
      </c>
      <c r="K303" s="32">
        <v>0</v>
      </c>
      <c r="L303" s="83">
        <v>0</v>
      </c>
      <c r="M303" s="32">
        <v>0</v>
      </c>
      <c r="N303" s="83">
        <v>1043035.16</v>
      </c>
      <c r="O303" s="32">
        <v>0</v>
      </c>
      <c r="P303" s="83">
        <v>0</v>
      </c>
      <c r="Q303" s="32">
        <v>0</v>
      </c>
      <c r="R303" s="32">
        <v>0</v>
      </c>
      <c r="S303" s="32">
        <v>0</v>
      </c>
      <c r="T303" s="32">
        <v>0</v>
      </c>
    </row>
    <row r="304" spans="1:39" s="44" customFormat="1" ht="22.15" customHeight="1" x14ac:dyDescent="0.25">
      <c r="A304" s="25">
        <v>2</v>
      </c>
      <c r="B304" s="37" t="s">
        <v>402</v>
      </c>
      <c r="C304" s="75">
        <f t="shared" si="38"/>
        <v>1203879.81</v>
      </c>
      <c r="D304" s="75">
        <f t="shared" si="39"/>
        <v>0</v>
      </c>
      <c r="E304" s="75">
        <v>0</v>
      </c>
      <c r="F304" s="87">
        <v>0</v>
      </c>
      <c r="G304" s="75">
        <v>0</v>
      </c>
      <c r="H304" s="87">
        <v>0</v>
      </c>
      <c r="I304" s="87">
        <v>0</v>
      </c>
      <c r="J304" s="152">
        <v>0</v>
      </c>
      <c r="K304" s="75">
        <v>0</v>
      </c>
      <c r="L304" s="87">
        <v>0</v>
      </c>
      <c r="M304" s="75">
        <v>0</v>
      </c>
      <c r="N304" s="75">
        <v>1203879.81</v>
      </c>
      <c r="O304" s="75">
        <v>0</v>
      </c>
      <c r="P304" s="87">
        <v>0</v>
      </c>
      <c r="Q304" s="75">
        <v>0</v>
      </c>
      <c r="R304" s="75">
        <v>0</v>
      </c>
      <c r="S304" s="75">
        <v>0</v>
      </c>
      <c r="T304" s="75">
        <v>0</v>
      </c>
      <c r="W304" s="186"/>
      <c r="X304" s="186"/>
      <c r="Y304" s="186"/>
      <c r="Z304" s="186"/>
      <c r="AA304" s="186"/>
      <c r="AB304" s="186"/>
      <c r="AC304" s="186"/>
      <c r="AD304" s="186"/>
      <c r="AE304" s="186"/>
      <c r="AF304" s="186"/>
      <c r="AG304" s="186"/>
      <c r="AH304" s="186"/>
      <c r="AI304" s="186"/>
      <c r="AJ304" s="186"/>
      <c r="AK304" s="186"/>
      <c r="AL304" s="186"/>
      <c r="AM304" s="186"/>
    </row>
    <row r="305" spans="1:39" s="186" customFormat="1" ht="22.15" customHeight="1" x14ac:dyDescent="0.25">
      <c r="A305" s="322" t="s">
        <v>403</v>
      </c>
      <c r="B305" s="322"/>
      <c r="C305" s="118">
        <f t="shared" ref="C305:T305" si="40">SUM(C306:C307)</f>
        <v>1575708.7</v>
      </c>
      <c r="D305" s="118">
        <f t="shared" si="40"/>
        <v>1575708.7</v>
      </c>
      <c r="E305" s="118">
        <f t="shared" si="40"/>
        <v>1575708.7</v>
      </c>
      <c r="F305" s="118">
        <f t="shared" si="40"/>
        <v>0</v>
      </c>
      <c r="G305" s="118">
        <f t="shared" si="40"/>
        <v>0</v>
      </c>
      <c r="H305" s="118">
        <f t="shared" si="40"/>
        <v>0</v>
      </c>
      <c r="I305" s="118">
        <f t="shared" si="40"/>
        <v>0</v>
      </c>
      <c r="J305" s="119">
        <f t="shared" si="40"/>
        <v>0</v>
      </c>
      <c r="K305" s="118">
        <f t="shared" si="40"/>
        <v>0</v>
      </c>
      <c r="L305" s="118">
        <f t="shared" si="40"/>
        <v>0</v>
      </c>
      <c r="M305" s="118">
        <f t="shared" si="40"/>
        <v>0</v>
      </c>
      <c r="N305" s="118">
        <f t="shared" si="40"/>
        <v>0</v>
      </c>
      <c r="O305" s="118">
        <f t="shared" si="40"/>
        <v>0</v>
      </c>
      <c r="P305" s="118">
        <f t="shared" si="40"/>
        <v>0</v>
      </c>
      <c r="Q305" s="118">
        <f t="shared" si="40"/>
        <v>0</v>
      </c>
      <c r="R305" s="118">
        <f t="shared" si="40"/>
        <v>0</v>
      </c>
      <c r="S305" s="118">
        <f t="shared" si="40"/>
        <v>0</v>
      </c>
      <c r="T305" s="118">
        <f t="shared" si="40"/>
        <v>0</v>
      </c>
      <c r="U305" s="23"/>
      <c r="V305" s="23"/>
    </row>
    <row r="306" spans="1:39" s="186" customFormat="1" ht="22.15" customHeight="1" x14ac:dyDescent="0.25">
      <c r="A306" s="25">
        <v>1</v>
      </c>
      <c r="B306" s="37" t="s">
        <v>404</v>
      </c>
      <c r="C306" s="75">
        <f t="shared" ref="C306:C307" si="41">D306+K306+L306+M306+N306+O306+P306+Q306+R306+S306+T306</f>
        <v>942984.61</v>
      </c>
      <c r="D306" s="75">
        <f t="shared" ref="D306:D307" si="42">SUM(E306:I306)</f>
        <v>942984.61</v>
      </c>
      <c r="E306" s="87">
        <v>942984.61</v>
      </c>
      <c r="F306" s="75">
        <v>0</v>
      </c>
      <c r="G306" s="75">
        <v>0</v>
      </c>
      <c r="H306" s="75">
        <v>0</v>
      </c>
      <c r="I306" s="75">
        <v>0</v>
      </c>
      <c r="J306" s="152">
        <v>0</v>
      </c>
      <c r="K306" s="75">
        <v>0</v>
      </c>
      <c r="L306" s="75">
        <v>0</v>
      </c>
      <c r="M306" s="75">
        <v>0</v>
      </c>
      <c r="N306" s="75">
        <v>0</v>
      </c>
      <c r="O306" s="75">
        <v>0</v>
      </c>
      <c r="P306" s="87">
        <v>0</v>
      </c>
      <c r="Q306" s="75">
        <v>0</v>
      </c>
      <c r="R306" s="75">
        <v>0</v>
      </c>
      <c r="S306" s="75">
        <v>0</v>
      </c>
      <c r="T306" s="75">
        <v>0</v>
      </c>
      <c r="U306" s="44"/>
      <c r="V306" s="44"/>
      <c r="W306" s="40"/>
      <c r="X306" s="40"/>
      <c r="Y306" s="40"/>
      <c r="Z306" s="40"/>
      <c r="AA306" s="40"/>
      <c r="AB306" s="40"/>
      <c r="AC306" s="40"/>
      <c r="AD306" s="40"/>
      <c r="AE306" s="40"/>
      <c r="AF306" s="40"/>
      <c r="AG306" s="40"/>
      <c r="AH306" s="40"/>
      <c r="AI306" s="40"/>
      <c r="AJ306" s="40"/>
      <c r="AK306" s="40"/>
      <c r="AL306" s="40"/>
      <c r="AM306" s="40"/>
    </row>
    <row r="307" spans="1:39" s="40" customFormat="1" ht="22.15" customHeight="1" x14ac:dyDescent="0.25">
      <c r="A307" s="25">
        <v>2</v>
      </c>
      <c r="B307" s="26" t="s">
        <v>405</v>
      </c>
      <c r="C307" s="75">
        <f t="shared" si="41"/>
        <v>632724.09</v>
      </c>
      <c r="D307" s="75">
        <f t="shared" si="42"/>
        <v>632724.09</v>
      </c>
      <c r="E307" s="75">
        <v>632724.09</v>
      </c>
      <c r="F307" s="87">
        <v>0</v>
      </c>
      <c r="G307" s="75">
        <v>0</v>
      </c>
      <c r="H307" s="87">
        <v>0</v>
      </c>
      <c r="I307" s="87">
        <v>0</v>
      </c>
      <c r="J307" s="152">
        <v>0</v>
      </c>
      <c r="K307" s="75">
        <v>0</v>
      </c>
      <c r="L307" s="87">
        <v>0</v>
      </c>
      <c r="M307" s="75">
        <v>0</v>
      </c>
      <c r="N307" s="75">
        <v>0</v>
      </c>
      <c r="O307" s="75">
        <v>0</v>
      </c>
      <c r="P307" s="87">
        <v>0</v>
      </c>
      <c r="Q307" s="75">
        <v>0</v>
      </c>
      <c r="R307" s="75">
        <v>0</v>
      </c>
      <c r="S307" s="75">
        <v>0</v>
      </c>
      <c r="T307" s="75">
        <v>0</v>
      </c>
      <c r="U307" s="44"/>
      <c r="V307" s="44"/>
    </row>
    <row r="308" spans="1:39" s="186" customFormat="1" ht="22.15" customHeight="1" x14ac:dyDescent="0.25">
      <c r="A308" s="322" t="s">
        <v>406</v>
      </c>
      <c r="B308" s="322"/>
      <c r="C308" s="118">
        <f t="shared" ref="C308:T308" si="43">SUM(C309:C313)</f>
        <v>70642855.790000007</v>
      </c>
      <c r="D308" s="118">
        <f t="shared" si="43"/>
        <v>32486040.550000001</v>
      </c>
      <c r="E308" s="118">
        <f t="shared" si="43"/>
        <v>0</v>
      </c>
      <c r="F308" s="118">
        <f t="shared" si="43"/>
        <v>25029723.609999999</v>
      </c>
      <c r="G308" s="118">
        <f t="shared" si="43"/>
        <v>722856.32</v>
      </c>
      <c r="H308" s="118">
        <f t="shared" si="43"/>
        <v>1983266.56</v>
      </c>
      <c r="I308" s="118">
        <f t="shared" si="43"/>
        <v>4750194.0600000005</v>
      </c>
      <c r="J308" s="119">
        <f t="shared" si="43"/>
        <v>0</v>
      </c>
      <c r="K308" s="118">
        <f t="shared" si="43"/>
        <v>0</v>
      </c>
      <c r="L308" s="118">
        <f t="shared" si="43"/>
        <v>0</v>
      </c>
      <c r="M308" s="118">
        <f t="shared" si="43"/>
        <v>0</v>
      </c>
      <c r="N308" s="118">
        <f t="shared" si="43"/>
        <v>0</v>
      </c>
      <c r="O308" s="118">
        <f t="shared" si="43"/>
        <v>0</v>
      </c>
      <c r="P308" s="118">
        <f t="shared" si="43"/>
        <v>1864574.5399999998</v>
      </c>
      <c r="Q308" s="118">
        <f t="shared" si="43"/>
        <v>0</v>
      </c>
      <c r="R308" s="118">
        <f t="shared" si="43"/>
        <v>0</v>
      </c>
      <c r="S308" s="118">
        <f t="shared" si="43"/>
        <v>36292240.700000003</v>
      </c>
      <c r="T308" s="118">
        <f t="shared" si="43"/>
        <v>0</v>
      </c>
      <c r="U308" s="238"/>
      <c r="V308" s="238"/>
    </row>
    <row r="309" spans="1:39" s="40" customFormat="1" ht="22.15" customHeight="1" x14ac:dyDescent="0.25">
      <c r="A309" s="25">
        <v>1</v>
      </c>
      <c r="B309" s="37" t="s">
        <v>1090</v>
      </c>
      <c r="C309" s="75">
        <f t="shared" ref="C309:C313" si="44">D309+K309+L309+M309+N309+O309+P309+Q309+R309+S309+T309</f>
        <v>279124.94</v>
      </c>
      <c r="D309" s="75">
        <f t="shared" ref="D309:D313" si="45">SUM(E309:I309)</f>
        <v>0</v>
      </c>
      <c r="E309" s="75">
        <v>0</v>
      </c>
      <c r="F309" s="75">
        <v>0</v>
      </c>
      <c r="G309" s="75">
        <v>0</v>
      </c>
      <c r="H309" s="75">
        <v>0</v>
      </c>
      <c r="I309" s="75">
        <v>0</v>
      </c>
      <c r="J309" s="152">
        <v>0</v>
      </c>
      <c r="K309" s="75">
        <v>0</v>
      </c>
      <c r="L309" s="75">
        <v>0</v>
      </c>
      <c r="M309" s="75">
        <v>0</v>
      </c>
      <c r="N309" s="75">
        <v>0</v>
      </c>
      <c r="O309" s="75">
        <v>0</v>
      </c>
      <c r="P309" s="87">
        <v>279124.94</v>
      </c>
      <c r="Q309" s="75">
        <v>0</v>
      </c>
      <c r="R309" s="75">
        <v>0</v>
      </c>
      <c r="S309" s="87">
        <v>0</v>
      </c>
      <c r="T309" s="75">
        <v>0</v>
      </c>
      <c r="U309" s="243"/>
      <c r="V309" s="243"/>
    </row>
    <row r="310" spans="1:39" s="40" customFormat="1" ht="22.5" customHeight="1" x14ac:dyDescent="0.25">
      <c r="A310" s="25">
        <v>2</v>
      </c>
      <c r="B310" s="37" t="s">
        <v>1091</v>
      </c>
      <c r="C310" s="75">
        <f t="shared" si="44"/>
        <v>18523667.609999999</v>
      </c>
      <c r="D310" s="75">
        <f t="shared" si="45"/>
        <v>11081405.340000002</v>
      </c>
      <c r="E310" s="87">
        <v>0</v>
      </c>
      <c r="F310" s="87">
        <v>8528759.4900000002</v>
      </c>
      <c r="G310" s="87">
        <v>398203.97</v>
      </c>
      <c r="H310" s="87">
        <v>600562.14</v>
      </c>
      <c r="I310" s="87">
        <v>1553879.74</v>
      </c>
      <c r="J310" s="240">
        <v>0</v>
      </c>
      <c r="K310" s="87">
        <v>0</v>
      </c>
      <c r="L310" s="87">
        <v>0</v>
      </c>
      <c r="M310" s="87">
        <v>0</v>
      </c>
      <c r="N310" s="87">
        <v>0</v>
      </c>
      <c r="O310" s="87">
        <v>0</v>
      </c>
      <c r="P310" s="87">
        <f>129400.03+101291.43+95799.32</f>
        <v>326490.78000000003</v>
      </c>
      <c r="Q310" s="87">
        <v>0</v>
      </c>
      <c r="R310" s="87">
        <v>0</v>
      </c>
      <c r="S310" s="87">
        <v>7115771.4900000002</v>
      </c>
      <c r="T310" s="75">
        <v>0</v>
      </c>
      <c r="U310" s="243"/>
      <c r="V310" s="243"/>
    </row>
    <row r="311" spans="1:39" s="40" customFormat="1" ht="22.5" customHeight="1" x14ac:dyDescent="0.25">
      <c r="A311" s="25">
        <v>3</v>
      </c>
      <c r="B311" s="37" t="s">
        <v>1092</v>
      </c>
      <c r="C311" s="75">
        <f t="shared" si="44"/>
        <v>20390700.16</v>
      </c>
      <c r="D311" s="75">
        <f t="shared" si="45"/>
        <v>10643925.65</v>
      </c>
      <c r="E311" s="87">
        <v>0</v>
      </c>
      <c r="F311" s="87">
        <v>8101197.7599999998</v>
      </c>
      <c r="G311" s="87">
        <v>324652.34999999998</v>
      </c>
      <c r="H311" s="87">
        <v>620917.06999999995</v>
      </c>
      <c r="I311" s="87">
        <v>1597158.47</v>
      </c>
      <c r="J311" s="240">
        <v>0</v>
      </c>
      <c r="K311" s="87">
        <v>0</v>
      </c>
      <c r="L311" s="87">
        <v>0</v>
      </c>
      <c r="M311" s="87">
        <v>0</v>
      </c>
      <c r="N311" s="87">
        <v>0</v>
      </c>
      <c r="O311" s="87">
        <v>0</v>
      </c>
      <c r="P311" s="87">
        <f>213157.56+162795.86+159195.95</f>
        <v>535149.37</v>
      </c>
      <c r="Q311" s="87">
        <v>0</v>
      </c>
      <c r="R311" s="87">
        <v>0</v>
      </c>
      <c r="S311" s="87">
        <v>9211625.1400000006</v>
      </c>
      <c r="T311" s="75">
        <v>0</v>
      </c>
      <c r="U311" s="243"/>
      <c r="V311" s="243"/>
    </row>
    <row r="312" spans="1:39" s="40" customFormat="1" ht="22.5" customHeight="1" x14ac:dyDescent="0.25">
      <c r="A312" s="25">
        <v>4</v>
      </c>
      <c r="B312" s="37" t="s">
        <v>1093</v>
      </c>
      <c r="C312" s="75">
        <f t="shared" si="44"/>
        <v>11053795.560000001</v>
      </c>
      <c r="D312" s="75">
        <f t="shared" si="45"/>
        <v>0</v>
      </c>
      <c r="E312" s="75">
        <v>0</v>
      </c>
      <c r="F312" s="87">
        <v>0</v>
      </c>
      <c r="G312" s="87">
        <v>0</v>
      </c>
      <c r="H312" s="87">
        <v>0</v>
      </c>
      <c r="I312" s="87">
        <v>0</v>
      </c>
      <c r="J312" s="240">
        <v>0</v>
      </c>
      <c r="K312" s="87">
        <v>0</v>
      </c>
      <c r="L312" s="87">
        <v>0</v>
      </c>
      <c r="M312" s="87">
        <v>0</v>
      </c>
      <c r="N312" s="87">
        <v>0</v>
      </c>
      <c r="O312" s="87">
        <v>0</v>
      </c>
      <c r="P312" s="87">
        <f>172978.82+129573.28+28616.95</f>
        <v>331169.05</v>
      </c>
      <c r="Q312" s="87">
        <v>0</v>
      </c>
      <c r="R312" s="87">
        <v>0</v>
      </c>
      <c r="S312" s="87">
        <v>10722626.51</v>
      </c>
      <c r="T312" s="75">
        <v>0</v>
      </c>
      <c r="U312" s="243"/>
      <c r="V312" s="243"/>
    </row>
    <row r="313" spans="1:39" s="40" customFormat="1" ht="22.5" customHeight="1" x14ac:dyDescent="0.25">
      <c r="A313" s="25">
        <v>5</v>
      </c>
      <c r="B313" s="37" t="s">
        <v>1094</v>
      </c>
      <c r="C313" s="75">
        <f t="shared" si="44"/>
        <v>20395567.52</v>
      </c>
      <c r="D313" s="75">
        <f t="shared" si="45"/>
        <v>10760709.559999999</v>
      </c>
      <c r="E313" s="75">
        <v>0</v>
      </c>
      <c r="F313" s="87">
        <v>8399766.3599999994</v>
      </c>
      <c r="G313" s="87">
        <v>0</v>
      </c>
      <c r="H313" s="87">
        <v>761787.35</v>
      </c>
      <c r="I313" s="87">
        <v>1599155.85</v>
      </c>
      <c r="J313" s="240">
        <v>0</v>
      </c>
      <c r="K313" s="87">
        <v>0</v>
      </c>
      <c r="L313" s="87">
        <v>0</v>
      </c>
      <c r="M313" s="87">
        <v>0</v>
      </c>
      <c r="N313" s="87">
        <v>0</v>
      </c>
      <c r="O313" s="87">
        <v>0</v>
      </c>
      <c r="P313" s="87">
        <f>180762.12+180762.12+31116.16</f>
        <v>392640.39999999997</v>
      </c>
      <c r="Q313" s="87">
        <v>0</v>
      </c>
      <c r="R313" s="87">
        <v>0</v>
      </c>
      <c r="S313" s="87">
        <v>9242217.5600000005</v>
      </c>
      <c r="T313" s="75">
        <v>0</v>
      </c>
      <c r="U313" s="243"/>
      <c r="V313" s="243"/>
    </row>
    <row r="314" spans="1:39" s="186" customFormat="1" ht="22.5" customHeight="1" x14ac:dyDescent="0.25">
      <c r="A314" s="322" t="s">
        <v>412</v>
      </c>
      <c r="B314" s="322"/>
      <c r="C314" s="118">
        <f t="shared" ref="C314:T314" si="46">SUM(C315:C327)</f>
        <v>47136180.99000001</v>
      </c>
      <c r="D314" s="118">
        <f t="shared" si="46"/>
        <v>3201533.63</v>
      </c>
      <c r="E314" s="118">
        <f t="shared" si="46"/>
        <v>1682629.2</v>
      </c>
      <c r="F314" s="118">
        <f t="shared" si="46"/>
        <v>0</v>
      </c>
      <c r="G314" s="118">
        <f t="shared" si="46"/>
        <v>0</v>
      </c>
      <c r="H314" s="118">
        <f t="shared" si="46"/>
        <v>1518904.4300000002</v>
      </c>
      <c r="I314" s="118">
        <f t="shared" si="46"/>
        <v>0</v>
      </c>
      <c r="J314" s="119">
        <f t="shared" si="46"/>
        <v>0</v>
      </c>
      <c r="K314" s="118">
        <f t="shared" si="46"/>
        <v>0</v>
      </c>
      <c r="L314" s="118">
        <f t="shared" si="46"/>
        <v>27214785.239999998</v>
      </c>
      <c r="M314" s="118">
        <f t="shared" si="46"/>
        <v>0</v>
      </c>
      <c r="N314" s="118">
        <f t="shared" si="46"/>
        <v>14070580.279999999</v>
      </c>
      <c r="O314" s="118">
        <f t="shared" si="46"/>
        <v>0</v>
      </c>
      <c r="P314" s="118">
        <f t="shared" si="46"/>
        <v>2649281.84</v>
      </c>
      <c r="Q314" s="118">
        <f t="shared" si="46"/>
        <v>0</v>
      </c>
      <c r="R314" s="118">
        <f t="shared" si="46"/>
        <v>0</v>
      </c>
      <c r="S314" s="118">
        <f t="shared" si="46"/>
        <v>0</v>
      </c>
      <c r="T314" s="118">
        <f t="shared" si="46"/>
        <v>0</v>
      </c>
      <c r="U314" s="238"/>
      <c r="V314" s="238"/>
    </row>
    <row r="315" spans="1:39" s="186" customFormat="1" ht="22.5" customHeight="1" x14ac:dyDescent="0.25">
      <c r="A315" s="25">
        <v>1</v>
      </c>
      <c r="B315" s="82" t="s">
        <v>1095</v>
      </c>
      <c r="C315" s="75">
        <f t="shared" ref="C315:C327" si="47">D315+K315+L315+M315+N315+O315+P315+Q315+R315+S315+T315</f>
        <v>328715.19</v>
      </c>
      <c r="D315" s="75">
        <f t="shared" ref="D315:D327" si="48">SUM(E315:I315)</f>
        <v>0</v>
      </c>
      <c r="E315" s="87">
        <v>0</v>
      </c>
      <c r="F315" s="87">
        <v>0</v>
      </c>
      <c r="G315" s="87">
        <v>0</v>
      </c>
      <c r="H315" s="87">
        <v>0</v>
      </c>
      <c r="I315" s="87">
        <v>0</v>
      </c>
      <c r="J315" s="240">
        <v>0</v>
      </c>
      <c r="K315" s="87">
        <v>0</v>
      </c>
      <c r="L315" s="87">
        <v>0</v>
      </c>
      <c r="M315" s="87">
        <v>0</v>
      </c>
      <c r="N315" s="87">
        <v>0</v>
      </c>
      <c r="O315" s="87">
        <v>0</v>
      </c>
      <c r="P315" s="87">
        <v>328715.19</v>
      </c>
      <c r="Q315" s="87">
        <v>0</v>
      </c>
      <c r="R315" s="87">
        <v>0</v>
      </c>
      <c r="S315" s="87">
        <v>0</v>
      </c>
      <c r="T315" s="87">
        <v>0</v>
      </c>
      <c r="U315" s="238"/>
      <c r="V315" s="238"/>
      <c r="W315" s="44"/>
      <c r="X315" s="44"/>
      <c r="Y315" s="44"/>
      <c r="Z315" s="44"/>
      <c r="AA315" s="44"/>
      <c r="AB315" s="44"/>
      <c r="AC315" s="44"/>
      <c r="AD315" s="44"/>
      <c r="AE315" s="44"/>
      <c r="AF315" s="44"/>
      <c r="AG315" s="44"/>
      <c r="AH315" s="44"/>
      <c r="AI315" s="44"/>
      <c r="AJ315" s="44"/>
      <c r="AK315" s="44"/>
      <c r="AL315" s="44"/>
      <c r="AM315" s="44"/>
    </row>
    <row r="316" spans="1:39" s="40" customFormat="1" ht="24" customHeight="1" x14ac:dyDescent="0.25">
      <c r="A316" s="25">
        <v>2</v>
      </c>
      <c r="B316" s="26" t="s">
        <v>1096</v>
      </c>
      <c r="C316" s="75">
        <f t="shared" si="47"/>
        <v>7827952.0399999991</v>
      </c>
      <c r="D316" s="75">
        <f t="shared" si="48"/>
        <v>0</v>
      </c>
      <c r="E316" s="87">
        <v>0</v>
      </c>
      <c r="F316" s="87">
        <v>0</v>
      </c>
      <c r="G316" s="75">
        <v>0</v>
      </c>
      <c r="H316" s="87">
        <v>0</v>
      </c>
      <c r="I316" s="75">
        <v>0</v>
      </c>
      <c r="J316" s="152">
        <v>0</v>
      </c>
      <c r="K316" s="87">
        <v>0</v>
      </c>
      <c r="L316" s="87">
        <v>0</v>
      </c>
      <c r="M316" s="75">
        <v>0</v>
      </c>
      <c r="N316" s="75">
        <v>7528956.3099999996</v>
      </c>
      <c r="O316" s="75">
        <v>0</v>
      </c>
      <c r="P316" s="87">
        <v>298995.73</v>
      </c>
      <c r="Q316" s="75">
        <v>0</v>
      </c>
      <c r="R316" s="75">
        <v>0</v>
      </c>
      <c r="S316" s="75">
        <v>0</v>
      </c>
      <c r="T316" s="75">
        <v>0</v>
      </c>
      <c r="U316" s="239"/>
      <c r="V316" s="239"/>
    </row>
    <row r="317" spans="1:39" s="40" customFormat="1" ht="24" customHeight="1" x14ac:dyDescent="0.25">
      <c r="A317" s="25">
        <v>3</v>
      </c>
      <c r="B317" s="37" t="s">
        <v>1097</v>
      </c>
      <c r="C317" s="75">
        <f t="shared" si="47"/>
        <v>7111285.0199999996</v>
      </c>
      <c r="D317" s="75">
        <f t="shared" si="48"/>
        <v>305096.5</v>
      </c>
      <c r="E317" s="87">
        <v>0</v>
      </c>
      <c r="F317" s="75">
        <v>0</v>
      </c>
      <c r="G317" s="75">
        <v>0</v>
      </c>
      <c r="H317" s="87">
        <v>305096.5</v>
      </c>
      <c r="I317" s="75">
        <v>0</v>
      </c>
      <c r="J317" s="152">
        <v>0</v>
      </c>
      <c r="K317" s="87">
        <v>0</v>
      </c>
      <c r="L317" s="87">
        <v>0</v>
      </c>
      <c r="M317" s="75">
        <v>0</v>
      </c>
      <c r="N317" s="75">
        <v>6541623.9699999997</v>
      </c>
      <c r="O317" s="87">
        <v>0</v>
      </c>
      <c r="P317" s="87">
        <v>264564.55</v>
      </c>
      <c r="Q317" s="75">
        <v>0</v>
      </c>
      <c r="R317" s="75">
        <v>0</v>
      </c>
      <c r="S317" s="75">
        <v>0</v>
      </c>
      <c r="T317" s="75">
        <v>0</v>
      </c>
      <c r="U317" s="239"/>
      <c r="V317" s="239"/>
    </row>
    <row r="318" spans="1:39" s="40" customFormat="1" ht="24" customHeight="1" x14ac:dyDescent="0.25">
      <c r="A318" s="25">
        <v>4</v>
      </c>
      <c r="B318" s="37" t="s">
        <v>1098</v>
      </c>
      <c r="C318" s="75">
        <f t="shared" si="47"/>
        <v>266053.58</v>
      </c>
      <c r="D318" s="75">
        <f t="shared" si="48"/>
        <v>0</v>
      </c>
      <c r="E318" s="87">
        <v>0</v>
      </c>
      <c r="F318" s="75">
        <v>0</v>
      </c>
      <c r="G318" s="75">
        <v>0</v>
      </c>
      <c r="H318" s="87">
        <v>0</v>
      </c>
      <c r="I318" s="75">
        <v>0</v>
      </c>
      <c r="J318" s="152">
        <v>0</v>
      </c>
      <c r="K318" s="87">
        <v>0</v>
      </c>
      <c r="L318" s="87">
        <v>0</v>
      </c>
      <c r="M318" s="75">
        <v>0</v>
      </c>
      <c r="N318" s="75">
        <v>0</v>
      </c>
      <c r="O318" s="87">
        <v>0</v>
      </c>
      <c r="P318" s="87">
        <v>266053.58</v>
      </c>
      <c r="Q318" s="75">
        <v>0</v>
      </c>
      <c r="R318" s="75">
        <v>0</v>
      </c>
      <c r="S318" s="75">
        <v>0</v>
      </c>
      <c r="T318" s="75">
        <v>0</v>
      </c>
      <c r="U318" s="239"/>
      <c r="V318" s="239"/>
    </row>
    <row r="319" spans="1:39" s="40" customFormat="1" ht="24" customHeight="1" x14ac:dyDescent="0.25">
      <c r="A319" s="25">
        <v>5</v>
      </c>
      <c r="B319" s="26" t="s">
        <v>1099</v>
      </c>
      <c r="C319" s="75">
        <f t="shared" si="47"/>
        <v>635329.49</v>
      </c>
      <c r="D319" s="75">
        <f t="shared" si="48"/>
        <v>0</v>
      </c>
      <c r="E319" s="87">
        <v>0</v>
      </c>
      <c r="F319" s="87">
        <v>0</v>
      </c>
      <c r="G319" s="75">
        <v>0</v>
      </c>
      <c r="H319" s="87">
        <v>0</v>
      </c>
      <c r="I319" s="75">
        <v>0</v>
      </c>
      <c r="J319" s="152">
        <v>0</v>
      </c>
      <c r="K319" s="87">
        <v>0</v>
      </c>
      <c r="L319" s="87">
        <v>0</v>
      </c>
      <c r="M319" s="75">
        <v>0</v>
      </c>
      <c r="N319" s="75">
        <v>0</v>
      </c>
      <c r="O319" s="75">
        <v>0</v>
      </c>
      <c r="P319" s="87">
        <f>400103.15+235226.34</f>
        <v>635329.49</v>
      </c>
      <c r="Q319" s="75">
        <v>0</v>
      </c>
      <c r="R319" s="75">
        <v>0</v>
      </c>
      <c r="S319" s="75">
        <v>0</v>
      </c>
      <c r="T319" s="75">
        <v>0</v>
      </c>
      <c r="U319" s="239"/>
      <c r="V319" s="239"/>
    </row>
    <row r="320" spans="1:39" s="40" customFormat="1" ht="24" customHeight="1" x14ac:dyDescent="0.25">
      <c r="A320" s="25">
        <v>6</v>
      </c>
      <c r="B320" s="26" t="s">
        <v>1100</v>
      </c>
      <c r="C320" s="75">
        <f t="shared" si="47"/>
        <v>27543608.879999999</v>
      </c>
      <c r="D320" s="75">
        <f t="shared" si="48"/>
        <v>0</v>
      </c>
      <c r="E320" s="87">
        <v>0</v>
      </c>
      <c r="F320" s="87">
        <v>0</v>
      </c>
      <c r="G320" s="75">
        <v>0</v>
      </c>
      <c r="H320" s="87">
        <v>0</v>
      </c>
      <c r="I320" s="75">
        <v>0</v>
      </c>
      <c r="J320" s="152">
        <v>0</v>
      </c>
      <c r="K320" s="75">
        <v>0</v>
      </c>
      <c r="L320" s="75">
        <v>27214785.239999998</v>
      </c>
      <c r="M320" s="75">
        <v>0</v>
      </c>
      <c r="N320" s="75">
        <v>0</v>
      </c>
      <c r="O320" s="75">
        <v>0</v>
      </c>
      <c r="P320" s="87">
        <v>328823.64</v>
      </c>
      <c r="Q320" s="75">
        <v>0</v>
      </c>
      <c r="R320" s="75">
        <v>0</v>
      </c>
      <c r="S320" s="75">
        <v>0</v>
      </c>
      <c r="T320" s="75">
        <v>0</v>
      </c>
      <c r="U320" s="239"/>
      <c r="V320" s="239"/>
    </row>
    <row r="321" spans="1:35" s="40" customFormat="1" ht="24" customHeight="1" x14ac:dyDescent="0.25">
      <c r="A321" s="25">
        <v>7</v>
      </c>
      <c r="B321" s="82" t="s">
        <v>423</v>
      </c>
      <c r="C321" s="75">
        <f t="shared" si="47"/>
        <v>301979.03000000003</v>
      </c>
      <c r="D321" s="75">
        <f t="shared" si="48"/>
        <v>301979.03000000003</v>
      </c>
      <c r="E321" s="255">
        <v>0</v>
      </c>
      <c r="F321" s="256">
        <v>0</v>
      </c>
      <c r="G321" s="256">
        <v>0</v>
      </c>
      <c r="H321" s="255">
        <v>301979.03000000003</v>
      </c>
      <c r="I321" s="256">
        <v>0</v>
      </c>
      <c r="J321" s="257">
        <v>0</v>
      </c>
      <c r="K321" s="256">
        <v>0</v>
      </c>
      <c r="L321" s="255">
        <v>0</v>
      </c>
      <c r="M321" s="255">
        <v>0</v>
      </c>
      <c r="N321" s="256">
        <v>0</v>
      </c>
      <c r="O321" s="256">
        <v>0</v>
      </c>
      <c r="P321" s="255">
        <v>0</v>
      </c>
      <c r="Q321" s="256">
        <v>0</v>
      </c>
      <c r="R321" s="256">
        <v>0</v>
      </c>
      <c r="S321" s="256">
        <v>0</v>
      </c>
      <c r="T321" s="256">
        <v>0</v>
      </c>
      <c r="U321" s="243"/>
      <c r="V321" s="243"/>
    </row>
    <row r="322" spans="1:35" s="40" customFormat="1" ht="24" customHeight="1" x14ac:dyDescent="0.25">
      <c r="A322" s="25">
        <v>8</v>
      </c>
      <c r="B322" s="82" t="s">
        <v>424</v>
      </c>
      <c r="C322" s="75">
        <f t="shared" si="47"/>
        <v>305183.58</v>
      </c>
      <c r="D322" s="75">
        <f t="shared" si="48"/>
        <v>305183.58</v>
      </c>
      <c r="E322" s="255">
        <v>0</v>
      </c>
      <c r="F322" s="256">
        <v>0</v>
      </c>
      <c r="G322" s="256">
        <v>0</v>
      </c>
      <c r="H322" s="255">
        <v>305183.58</v>
      </c>
      <c r="I322" s="256">
        <v>0</v>
      </c>
      <c r="J322" s="257">
        <v>0</v>
      </c>
      <c r="K322" s="255">
        <v>0</v>
      </c>
      <c r="L322" s="256">
        <v>0</v>
      </c>
      <c r="M322" s="255">
        <v>0</v>
      </c>
      <c r="N322" s="256">
        <v>0</v>
      </c>
      <c r="O322" s="256">
        <v>0</v>
      </c>
      <c r="P322" s="255">
        <v>0</v>
      </c>
      <c r="Q322" s="256">
        <v>0</v>
      </c>
      <c r="R322" s="256">
        <v>0</v>
      </c>
      <c r="S322" s="256">
        <v>0</v>
      </c>
      <c r="T322" s="256">
        <v>0</v>
      </c>
      <c r="U322" s="243"/>
      <c r="V322" s="243"/>
    </row>
    <row r="323" spans="1:35" s="40" customFormat="1" ht="24" customHeight="1" x14ac:dyDescent="0.25">
      <c r="A323" s="25">
        <v>9</v>
      </c>
      <c r="B323" s="82" t="s">
        <v>425</v>
      </c>
      <c r="C323" s="75">
        <f t="shared" si="47"/>
        <v>301548.73</v>
      </c>
      <c r="D323" s="75">
        <f t="shared" si="48"/>
        <v>301548.73</v>
      </c>
      <c r="E323" s="255">
        <v>0</v>
      </c>
      <c r="F323" s="256">
        <v>0</v>
      </c>
      <c r="G323" s="256">
        <v>0</v>
      </c>
      <c r="H323" s="255">
        <v>301548.73</v>
      </c>
      <c r="I323" s="256">
        <v>0</v>
      </c>
      <c r="J323" s="257">
        <v>0</v>
      </c>
      <c r="K323" s="256">
        <v>0</v>
      </c>
      <c r="L323" s="255">
        <v>0</v>
      </c>
      <c r="M323" s="255">
        <v>0</v>
      </c>
      <c r="N323" s="255">
        <v>0</v>
      </c>
      <c r="O323" s="256">
        <v>0</v>
      </c>
      <c r="P323" s="255">
        <v>0</v>
      </c>
      <c r="Q323" s="256">
        <v>0</v>
      </c>
      <c r="R323" s="256">
        <v>0</v>
      </c>
      <c r="S323" s="256">
        <v>0</v>
      </c>
      <c r="T323" s="256">
        <v>0</v>
      </c>
      <c r="U323" s="243"/>
      <c r="V323" s="243"/>
    </row>
    <row r="324" spans="1:35" s="40" customFormat="1" ht="24" customHeight="1" x14ac:dyDescent="0.25">
      <c r="A324" s="25">
        <v>10</v>
      </c>
      <c r="B324" s="82" t="s">
        <v>426</v>
      </c>
      <c r="C324" s="75">
        <f t="shared" si="47"/>
        <v>305096.59000000003</v>
      </c>
      <c r="D324" s="75">
        <f t="shared" si="48"/>
        <v>305096.59000000003</v>
      </c>
      <c r="E324" s="255">
        <v>0</v>
      </c>
      <c r="F324" s="256">
        <v>0</v>
      </c>
      <c r="G324" s="256">
        <v>0</v>
      </c>
      <c r="H324" s="255">
        <v>305096.59000000003</v>
      </c>
      <c r="I324" s="255">
        <v>0</v>
      </c>
      <c r="J324" s="257">
        <v>0</v>
      </c>
      <c r="K324" s="256">
        <v>0</v>
      </c>
      <c r="L324" s="255">
        <v>0</v>
      </c>
      <c r="M324" s="255">
        <v>0</v>
      </c>
      <c r="N324" s="255">
        <v>0</v>
      </c>
      <c r="O324" s="256">
        <v>0</v>
      </c>
      <c r="P324" s="255">
        <v>0</v>
      </c>
      <c r="Q324" s="256">
        <v>0</v>
      </c>
      <c r="R324" s="256">
        <v>0</v>
      </c>
      <c r="S324" s="256">
        <v>0</v>
      </c>
      <c r="T324" s="256">
        <v>0</v>
      </c>
      <c r="U324" s="243"/>
      <c r="V324" s="243"/>
    </row>
    <row r="325" spans="1:35" s="40" customFormat="1" ht="24" customHeight="1" x14ac:dyDescent="0.25">
      <c r="A325" s="25">
        <v>11</v>
      </c>
      <c r="B325" s="82" t="s">
        <v>1101</v>
      </c>
      <c r="C325" s="75">
        <f t="shared" si="47"/>
        <v>252606.28</v>
      </c>
      <c r="D325" s="75">
        <f t="shared" si="48"/>
        <v>0</v>
      </c>
      <c r="E325" s="255">
        <v>0</v>
      </c>
      <c r="F325" s="255">
        <v>0</v>
      </c>
      <c r="G325" s="255">
        <v>0</v>
      </c>
      <c r="H325" s="255">
        <v>0</v>
      </c>
      <c r="I325" s="255">
        <v>0</v>
      </c>
      <c r="J325" s="257">
        <v>0</v>
      </c>
      <c r="K325" s="256">
        <v>0</v>
      </c>
      <c r="L325" s="256">
        <v>0</v>
      </c>
      <c r="M325" s="256">
        <v>0</v>
      </c>
      <c r="N325" s="256">
        <v>0</v>
      </c>
      <c r="O325" s="256">
        <v>0</v>
      </c>
      <c r="P325" s="255">
        <v>252606.28</v>
      </c>
      <c r="Q325" s="256">
        <v>0</v>
      </c>
      <c r="R325" s="256">
        <v>0</v>
      </c>
      <c r="S325" s="256">
        <v>0</v>
      </c>
      <c r="T325" s="256">
        <v>0</v>
      </c>
      <c r="U325" s="243"/>
      <c r="V325" s="243"/>
      <c r="W325" s="23"/>
      <c r="X325" s="23"/>
      <c r="Y325" s="23"/>
      <c r="Z325" s="23"/>
      <c r="AA325" s="23"/>
      <c r="AB325" s="23"/>
      <c r="AC325" s="23"/>
      <c r="AD325" s="23"/>
      <c r="AE325" s="23"/>
      <c r="AF325" s="23"/>
      <c r="AG325" s="23"/>
      <c r="AH325" s="23"/>
      <c r="AI325" s="23"/>
    </row>
    <row r="326" spans="1:35" s="40" customFormat="1" ht="24" customHeight="1" x14ac:dyDescent="0.25">
      <c r="A326" s="25">
        <v>12</v>
      </c>
      <c r="B326" s="26" t="s">
        <v>1102</v>
      </c>
      <c r="C326" s="75">
        <f t="shared" si="47"/>
        <v>274193.38</v>
      </c>
      <c r="D326" s="75">
        <f t="shared" si="48"/>
        <v>0</v>
      </c>
      <c r="E326" s="87">
        <v>0</v>
      </c>
      <c r="F326" s="87">
        <v>0</v>
      </c>
      <c r="G326" s="75">
        <v>0</v>
      </c>
      <c r="H326" s="87">
        <v>0</v>
      </c>
      <c r="I326" s="75">
        <v>0</v>
      </c>
      <c r="J326" s="152">
        <v>0</v>
      </c>
      <c r="K326" s="75">
        <v>0</v>
      </c>
      <c r="L326" s="87">
        <v>0</v>
      </c>
      <c r="M326" s="75">
        <v>0</v>
      </c>
      <c r="N326" s="75">
        <v>0</v>
      </c>
      <c r="O326" s="75">
        <v>0</v>
      </c>
      <c r="P326" s="87">
        <v>274193.38</v>
      </c>
      <c r="Q326" s="75">
        <v>0</v>
      </c>
      <c r="R326" s="75">
        <v>0</v>
      </c>
      <c r="S326" s="75">
        <v>0</v>
      </c>
      <c r="T326" s="75">
        <v>0</v>
      </c>
      <c r="U326" s="238"/>
      <c r="V326" s="238"/>
    </row>
    <row r="327" spans="1:35" s="40" customFormat="1" ht="22.5" customHeight="1" x14ac:dyDescent="0.25">
      <c r="A327" s="25">
        <v>13</v>
      </c>
      <c r="B327" s="26" t="s">
        <v>429</v>
      </c>
      <c r="C327" s="75">
        <f t="shared" si="47"/>
        <v>1682629.2</v>
      </c>
      <c r="D327" s="75">
        <f t="shared" si="48"/>
        <v>1682629.2</v>
      </c>
      <c r="E327" s="87">
        <v>1682629.2</v>
      </c>
      <c r="F327" s="87">
        <v>0</v>
      </c>
      <c r="G327" s="75">
        <v>0</v>
      </c>
      <c r="H327" s="87">
        <v>0</v>
      </c>
      <c r="I327" s="75">
        <v>0</v>
      </c>
      <c r="J327" s="152">
        <v>0</v>
      </c>
      <c r="K327" s="75">
        <v>0</v>
      </c>
      <c r="L327" s="87">
        <v>0</v>
      </c>
      <c r="M327" s="75">
        <v>0</v>
      </c>
      <c r="N327" s="75">
        <v>0</v>
      </c>
      <c r="O327" s="75">
        <v>0</v>
      </c>
      <c r="P327" s="87">
        <v>0</v>
      </c>
      <c r="Q327" s="75">
        <v>0</v>
      </c>
      <c r="R327" s="75">
        <v>0</v>
      </c>
      <c r="S327" s="75">
        <v>0</v>
      </c>
      <c r="T327" s="75">
        <v>0</v>
      </c>
      <c r="U327" s="238"/>
      <c r="V327" s="238"/>
    </row>
    <row r="328" spans="1:35" s="186" customFormat="1" ht="22.5" customHeight="1" x14ac:dyDescent="0.25">
      <c r="A328" s="322" t="s">
        <v>430</v>
      </c>
      <c r="B328" s="322"/>
      <c r="C328" s="118">
        <f t="shared" ref="C328:T328" si="49">SUM(C329:C333)</f>
        <v>9147092.0600000005</v>
      </c>
      <c r="D328" s="118">
        <f t="shared" si="49"/>
        <v>7716660.3600000003</v>
      </c>
      <c r="E328" s="118">
        <f t="shared" si="49"/>
        <v>6831507.9000000004</v>
      </c>
      <c r="F328" s="118">
        <f t="shared" si="49"/>
        <v>0</v>
      </c>
      <c r="G328" s="118">
        <f t="shared" si="49"/>
        <v>0</v>
      </c>
      <c r="H328" s="118">
        <f t="shared" si="49"/>
        <v>447105</v>
      </c>
      <c r="I328" s="118">
        <f t="shared" si="49"/>
        <v>438047.45999999996</v>
      </c>
      <c r="J328" s="119">
        <f t="shared" si="49"/>
        <v>0</v>
      </c>
      <c r="K328" s="118">
        <f t="shared" si="49"/>
        <v>0</v>
      </c>
      <c r="L328" s="118">
        <f t="shared" si="49"/>
        <v>0</v>
      </c>
      <c r="M328" s="118">
        <f t="shared" si="49"/>
        <v>0</v>
      </c>
      <c r="N328" s="118">
        <f t="shared" si="49"/>
        <v>0</v>
      </c>
      <c r="O328" s="118">
        <f t="shared" si="49"/>
        <v>0</v>
      </c>
      <c r="P328" s="118">
        <f t="shared" si="49"/>
        <v>1284237.7</v>
      </c>
      <c r="Q328" s="118">
        <f t="shared" si="49"/>
        <v>0</v>
      </c>
      <c r="R328" s="118">
        <f t="shared" si="49"/>
        <v>146194</v>
      </c>
      <c r="S328" s="118">
        <f t="shared" si="49"/>
        <v>0</v>
      </c>
      <c r="T328" s="118">
        <f t="shared" si="49"/>
        <v>0</v>
      </c>
      <c r="U328" s="238"/>
      <c r="V328" s="238"/>
    </row>
    <row r="329" spans="1:35" s="186" customFormat="1" ht="22.5" customHeight="1" x14ac:dyDescent="0.25">
      <c r="A329" s="25">
        <v>1</v>
      </c>
      <c r="B329" s="37" t="s">
        <v>1103</v>
      </c>
      <c r="C329" s="75">
        <f t="shared" ref="C329:C333" si="50">D329+K329+L329+M329+N329+O329+P329+Q329+R329+S329+T329</f>
        <v>7328083.9000000004</v>
      </c>
      <c r="D329" s="75">
        <f t="shared" ref="D329:D333" si="51">SUM(E329:I329)</f>
        <v>6831507.9000000004</v>
      </c>
      <c r="E329" s="75">
        <v>6831507.9000000004</v>
      </c>
      <c r="F329" s="75">
        <v>0</v>
      </c>
      <c r="G329" s="75">
        <v>0</v>
      </c>
      <c r="H329" s="75">
        <v>0</v>
      </c>
      <c r="I329" s="75">
        <v>0</v>
      </c>
      <c r="J329" s="152">
        <v>0</v>
      </c>
      <c r="K329" s="75">
        <v>0</v>
      </c>
      <c r="L329" s="87">
        <v>0</v>
      </c>
      <c r="M329" s="75">
        <v>0</v>
      </c>
      <c r="N329" s="75">
        <v>0</v>
      </c>
      <c r="O329" s="75">
        <v>0</v>
      </c>
      <c r="P329" s="87">
        <f>350382</f>
        <v>350382</v>
      </c>
      <c r="Q329" s="75">
        <v>0</v>
      </c>
      <c r="R329" s="75">
        <v>146194</v>
      </c>
      <c r="S329" s="87">
        <v>0</v>
      </c>
      <c r="T329" s="75">
        <v>0</v>
      </c>
      <c r="U329" s="239"/>
      <c r="V329" s="239"/>
      <c r="W329" s="44"/>
      <c r="X329" s="44"/>
      <c r="Y329" s="44"/>
      <c r="Z329" s="44"/>
      <c r="AA329" s="44"/>
      <c r="AB329" s="44"/>
      <c r="AC329" s="44"/>
      <c r="AD329" s="44"/>
      <c r="AE329" s="44"/>
      <c r="AF329" s="44"/>
      <c r="AG329" s="44"/>
      <c r="AH329" s="44"/>
      <c r="AI329" s="44"/>
    </row>
    <row r="330" spans="1:35" s="40" customFormat="1" ht="22.5" customHeight="1" x14ac:dyDescent="0.25">
      <c r="A330" s="25">
        <v>2</v>
      </c>
      <c r="B330" s="37" t="s">
        <v>1104</v>
      </c>
      <c r="C330" s="75">
        <f t="shared" si="50"/>
        <v>621356.68999999994</v>
      </c>
      <c r="D330" s="75">
        <f t="shared" si="51"/>
        <v>0</v>
      </c>
      <c r="E330" s="75">
        <v>0</v>
      </c>
      <c r="F330" s="75">
        <v>0</v>
      </c>
      <c r="G330" s="75">
        <v>0</v>
      </c>
      <c r="H330" s="75">
        <v>0</v>
      </c>
      <c r="I330" s="75">
        <v>0</v>
      </c>
      <c r="J330" s="152">
        <v>0</v>
      </c>
      <c r="K330" s="75">
        <v>0</v>
      </c>
      <c r="L330" s="87">
        <v>0</v>
      </c>
      <c r="M330" s="75">
        <v>0</v>
      </c>
      <c r="N330" s="75">
        <v>0</v>
      </c>
      <c r="O330" s="75">
        <v>0</v>
      </c>
      <c r="P330" s="87">
        <v>621356.68999999994</v>
      </c>
      <c r="Q330" s="75">
        <v>0</v>
      </c>
      <c r="R330" s="75">
        <v>0</v>
      </c>
      <c r="S330" s="75">
        <v>0</v>
      </c>
      <c r="T330" s="75">
        <v>0</v>
      </c>
      <c r="U330" s="239"/>
      <c r="V330" s="239"/>
    </row>
    <row r="331" spans="1:35" s="40" customFormat="1" ht="22.5" customHeight="1" x14ac:dyDescent="0.25">
      <c r="A331" s="25">
        <v>3</v>
      </c>
      <c r="B331" s="37" t="s">
        <v>1105</v>
      </c>
      <c r="C331" s="75">
        <f t="shared" si="50"/>
        <v>312499.01</v>
      </c>
      <c r="D331" s="75">
        <f t="shared" si="51"/>
        <v>0</v>
      </c>
      <c r="E331" s="75">
        <v>0</v>
      </c>
      <c r="F331" s="75">
        <v>0</v>
      </c>
      <c r="G331" s="87">
        <v>0</v>
      </c>
      <c r="H331" s="75">
        <v>0</v>
      </c>
      <c r="I331" s="75">
        <v>0</v>
      </c>
      <c r="J331" s="152">
        <v>0</v>
      </c>
      <c r="K331" s="75">
        <v>0</v>
      </c>
      <c r="L331" s="75">
        <v>0</v>
      </c>
      <c r="M331" s="75">
        <v>0</v>
      </c>
      <c r="N331" s="75">
        <v>0</v>
      </c>
      <c r="O331" s="75">
        <v>0</v>
      </c>
      <c r="P331" s="87">
        <v>312499.01</v>
      </c>
      <c r="Q331" s="75">
        <v>0</v>
      </c>
      <c r="R331" s="75">
        <v>0</v>
      </c>
      <c r="S331" s="75">
        <v>0</v>
      </c>
      <c r="T331" s="75">
        <v>0</v>
      </c>
      <c r="U331" s="238"/>
      <c r="V331" s="238"/>
    </row>
    <row r="332" spans="1:35" s="40" customFormat="1" ht="22.5" customHeight="1" x14ac:dyDescent="0.25">
      <c r="A332" s="25">
        <v>4</v>
      </c>
      <c r="B332" s="37" t="s">
        <v>434</v>
      </c>
      <c r="C332" s="75">
        <f t="shared" si="50"/>
        <v>426487.32999999996</v>
      </c>
      <c r="D332" s="75">
        <f t="shared" si="51"/>
        <v>426487.32999999996</v>
      </c>
      <c r="E332" s="87">
        <v>0</v>
      </c>
      <c r="F332" s="75">
        <v>0</v>
      </c>
      <c r="G332" s="75">
        <v>0</v>
      </c>
      <c r="H332" s="87">
        <v>215550.37</v>
      </c>
      <c r="I332" s="87">
        <v>210936.95999999999</v>
      </c>
      <c r="J332" s="152">
        <v>0</v>
      </c>
      <c r="K332" s="75">
        <v>0</v>
      </c>
      <c r="L332" s="75">
        <v>0</v>
      </c>
      <c r="M332" s="75">
        <v>0</v>
      </c>
      <c r="N332" s="75">
        <v>0</v>
      </c>
      <c r="O332" s="75">
        <v>0</v>
      </c>
      <c r="P332" s="75">
        <v>0</v>
      </c>
      <c r="Q332" s="75">
        <v>0</v>
      </c>
      <c r="R332" s="75">
        <v>0</v>
      </c>
      <c r="S332" s="75">
        <v>0</v>
      </c>
      <c r="T332" s="75">
        <v>0</v>
      </c>
      <c r="U332" s="243"/>
      <c r="V332" s="243"/>
    </row>
    <row r="333" spans="1:35" s="40" customFormat="1" ht="22.5" customHeight="1" x14ac:dyDescent="0.25">
      <c r="A333" s="25">
        <v>5</v>
      </c>
      <c r="B333" s="37" t="s">
        <v>435</v>
      </c>
      <c r="C333" s="75">
        <f t="shared" si="50"/>
        <v>458665.13</v>
      </c>
      <c r="D333" s="75">
        <f t="shared" si="51"/>
        <v>458665.13</v>
      </c>
      <c r="E333" s="87">
        <v>0</v>
      </c>
      <c r="F333" s="75">
        <v>0</v>
      </c>
      <c r="G333" s="75">
        <v>0</v>
      </c>
      <c r="H333" s="87">
        <v>231554.63</v>
      </c>
      <c r="I333" s="87">
        <v>227110.5</v>
      </c>
      <c r="J333" s="152">
        <v>0</v>
      </c>
      <c r="K333" s="75">
        <v>0</v>
      </c>
      <c r="L333" s="75">
        <v>0</v>
      </c>
      <c r="M333" s="75">
        <v>0</v>
      </c>
      <c r="N333" s="75">
        <v>0</v>
      </c>
      <c r="O333" s="75">
        <v>0</v>
      </c>
      <c r="P333" s="75">
        <v>0</v>
      </c>
      <c r="Q333" s="75">
        <v>0</v>
      </c>
      <c r="R333" s="75">
        <v>0</v>
      </c>
      <c r="S333" s="75">
        <v>0</v>
      </c>
      <c r="T333" s="75">
        <v>0</v>
      </c>
      <c r="U333" s="238"/>
      <c r="V333" s="238"/>
    </row>
    <row r="334" spans="1:35" s="186" customFormat="1" ht="22.5" customHeight="1" x14ac:dyDescent="0.25">
      <c r="A334" s="322" t="s">
        <v>436</v>
      </c>
      <c r="B334" s="322"/>
      <c r="C334" s="118">
        <f t="shared" ref="C334:T334" si="52">SUM(C335:C348)</f>
        <v>52497090.729999997</v>
      </c>
      <c r="D334" s="118">
        <f t="shared" si="52"/>
        <v>2361364.2400000002</v>
      </c>
      <c r="E334" s="118">
        <f t="shared" si="52"/>
        <v>0</v>
      </c>
      <c r="F334" s="118">
        <f t="shared" si="52"/>
        <v>0</v>
      </c>
      <c r="G334" s="118">
        <f t="shared" si="52"/>
        <v>0</v>
      </c>
      <c r="H334" s="118">
        <f t="shared" si="52"/>
        <v>1059917.1500000001</v>
      </c>
      <c r="I334" s="118">
        <f t="shared" si="52"/>
        <v>1301447.0899999999</v>
      </c>
      <c r="J334" s="119">
        <f t="shared" si="52"/>
        <v>0</v>
      </c>
      <c r="K334" s="118">
        <f t="shared" si="52"/>
        <v>0</v>
      </c>
      <c r="L334" s="118">
        <f t="shared" si="52"/>
        <v>7334555.8899999997</v>
      </c>
      <c r="M334" s="118">
        <f t="shared" si="52"/>
        <v>0</v>
      </c>
      <c r="N334" s="118">
        <f t="shared" si="52"/>
        <v>0</v>
      </c>
      <c r="O334" s="118">
        <f t="shared" si="52"/>
        <v>0</v>
      </c>
      <c r="P334" s="118">
        <f t="shared" si="52"/>
        <v>2385774.7399999998</v>
      </c>
      <c r="Q334" s="118">
        <f t="shared" si="52"/>
        <v>0</v>
      </c>
      <c r="R334" s="118">
        <f t="shared" si="52"/>
        <v>0</v>
      </c>
      <c r="S334" s="118">
        <f t="shared" si="52"/>
        <v>40415395.859999999</v>
      </c>
      <c r="T334" s="118">
        <f t="shared" si="52"/>
        <v>0</v>
      </c>
      <c r="U334" s="238"/>
      <c r="V334" s="238"/>
    </row>
    <row r="335" spans="1:35" s="40" customFormat="1" ht="22.5" customHeight="1" x14ac:dyDescent="0.25">
      <c r="A335" s="25">
        <v>1</v>
      </c>
      <c r="B335" s="37" t="s">
        <v>437</v>
      </c>
      <c r="C335" s="75">
        <f t="shared" ref="C335:C348" si="53">D335+K335+L335+M335+N335+O335+P335+Q335+R335+S335+T335</f>
        <v>307799.5</v>
      </c>
      <c r="D335" s="75">
        <f t="shared" ref="D335:D348" si="54">SUM(E335:I335)</f>
        <v>307799.5</v>
      </c>
      <c r="E335" s="75">
        <v>0</v>
      </c>
      <c r="F335" s="75">
        <v>0</v>
      </c>
      <c r="G335" s="75">
        <v>0</v>
      </c>
      <c r="H335" s="75">
        <v>307799.5</v>
      </c>
      <c r="I335" s="75">
        <v>0</v>
      </c>
      <c r="J335" s="152">
        <v>0</v>
      </c>
      <c r="K335" s="75">
        <v>0</v>
      </c>
      <c r="L335" s="75">
        <v>0</v>
      </c>
      <c r="M335" s="75">
        <v>0</v>
      </c>
      <c r="N335" s="75">
        <v>0</v>
      </c>
      <c r="O335" s="75">
        <v>0</v>
      </c>
      <c r="P335" s="87">
        <v>0</v>
      </c>
      <c r="Q335" s="75">
        <v>0</v>
      </c>
      <c r="R335" s="75">
        <v>0</v>
      </c>
      <c r="S335" s="75">
        <v>0</v>
      </c>
      <c r="T335" s="75">
        <v>0</v>
      </c>
      <c r="U335" s="253"/>
      <c r="V335" s="253"/>
    </row>
    <row r="336" spans="1:35" s="258" customFormat="1" ht="23.25" customHeight="1" x14ac:dyDescent="0.25">
      <c r="A336" s="259">
        <v>2</v>
      </c>
      <c r="B336" s="260" t="s">
        <v>438</v>
      </c>
      <c r="C336" s="75">
        <f t="shared" si="53"/>
        <v>7334555.8899999997</v>
      </c>
      <c r="D336" s="75">
        <f t="shared" si="54"/>
        <v>0</v>
      </c>
      <c r="E336" s="261">
        <v>0</v>
      </c>
      <c r="F336" s="261">
        <v>0</v>
      </c>
      <c r="G336" s="261">
        <v>0</v>
      </c>
      <c r="H336" s="261">
        <v>0</v>
      </c>
      <c r="I336" s="261">
        <v>0</v>
      </c>
      <c r="J336" s="262">
        <v>0</v>
      </c>
      <c r="K336" s="261">
        <v>0</v>
      </c>
      <c r="L336" s="261">
        <v>7334555.8899999997</v>
      </c>
      <c r="M336" s="261">
        <v>0</v>
      </c>
      <c r="N336" s="261">
        <v>0</v>
      </c>
      <c r="O336" s="261">
        <v>0</v>
      </c>
      <c r="P336" s="263">
        <v>0</v>
      </c>
      <c r="Q336" s="261">
        <v>0</v>
      </c>
      <c r="R336" s="261">
        <v>0</v>
      </c>
      <c r="S336" s="261">
        <v>0</v>
      </c>
      <c r="T336" s="261">
        <v>0</v>
      </c>
      <c r="U336" s="253"/>
      <c r="V336" s="253"/>
    </row>
    <row r="337" spans="1:39" s="186" customFormat="1" ht="22.5" customHeight="1" x14ac:dyDescent="0.25">
      <c r="A337" s="25">
        <v>3</v>
      </c>
      <c r="B337" s="260" t="s">
        <v>1106</v>
      </c>
      <c r="C337" s="75">
        <f t="shared" si="53"/>
        <v>232502.31</v>
      </c>
      <c r="D337" s="75">
        <f t="shared" si="54"/>
        <v>232502.31</v>
      </c>
      <c r="E337" s="261">
        <v>0</v>
      </c>
      <c r="F337" s="261">
        <v>0</v>
      </c>
      <c r="G337" s="261">
        <v>0</v>
      </c>
      <c r="H337" s="261">
        <v>232502.31</v>
      </c>
      <c r="I337" s="261">
        <v>0</v>
      </c>
      <c r="J337" s="262">
        <v>0</v>
      </c>
      <c r="K337" s="261">
        <v>0</v>
      </c>
      <c r="L337" s="263">
        <v>0</v>
      </c>
      <c r="M337" s="261">
        <v>0</v>
      </c>
      <c r="N337" s="263">
        <v>0</v>
      </c>
      <c r="O337" s="261">
        <v>0</v>
      </c>
      <c r="P337" s="263">
        <v>0</v>
      </c>
      <c r="Q337" s="261">
        <v>0</v>
      </c>
      <c r="R337" s="261">
        <v>0</v>
      </c>
      <c r="S337" s="261">
        <v>0</v>
      </c>
      <c r="T337" s="261">
        <v>0</v>
      </c>
      <c r="U337" s="253"/>
      <c r="V337" s="253"/>
    </row>
    <row r="338" spans="1:39" s="186" customFormat="1" ht="22.5" customHeight="1" x14ac:dyDescent="0.25">
      <c r="A338" s="259">
        <v>4</v>
      </c>
      <c r="B338" s="260" t="s">
        <v>1107</v>
      </c>
      <c r="C338" s="75">
        <f t="shared" si="53"/>
        <v>354405.66</v>
      </c>
      <c r="D338" s="75">
        <f t="shared" si="54"/>
        <v>0</v>
      </c>
      <c r="E338" s="261">
        <v>0</v>
      </c>
      <c r="F338" s="261">
        <v>0</v>
      </c>
      <c r="G338" s="261">
        <v>0</v>
      </c>
      <c r="H338" s="261">
        <v>0</v>
      </c>
      <c r="I338" s="261">
        <v>0</v>
      </c>
      <c r="J338" s="262">
        <v>0</v>
      </c>
      <c r="K338" s="261">
        <v>0</v>
      </c>
      <c r="L338" s="261">
        <v>0</v>
      </c>
      <c r="M338" s="261">
        <v>0</v>
      </c>
      <c r="N338" s="261">
        <v>0</v>
      </c>
      <c r="O338" s="261">
        <v>0</v>
      </c>
      <c r="P338" s="263">
        <v>354405.66</v>
      </c>
      <c r="Q338" s="261">
        <v>0</v>
      </c>
      <c r="R338" s="261">
        <v>0</v>
      </c>
      <c r="S338" s="261">
        <v>0</v>
      </c>
      <c r="T338" s="261">
        <v>0</v>
      </c>
      <c r="U338" s="243"/>
      <c r="V338" s="243"/>
      <c r="W338" s="40"/>
      <c r="X338" s="40"/>
      <c r="Y338" s="40"/>
      <c r="Z338" s="40"/>
      <c r="AA338" s="40"/>
      <c r="AB338" s="40"/>
      <c r="AC338" s="40"/>
      <c r="AD338" s="40"/>
      <c r="AE338" s="40"/>
      <c r="AF338" s="40"/>
      <c r="AG338" s="40"/>
      <c r="AH338" s="40"/>
      <c r="AI338" s="40"/>
      <c r="AJ338" s="40"/>
      <c r="AK338" s="40"/>
      <c r="AL338" s="40"/>
      <c r="AM338" s="40"/>
    </row>
    <row r="339" spans="1:39" s="186" customFormat="1" ht="22.5" customHeight="1" x14ac:dyDescent="0.25">
      <c r="A339" s="25">
        <v>5</v>
      </c>
      <c r="B339" s="260" t="s">
        <v>1108</v>
      </c>
      <c r="C339" s="75">
        <f t="shared" si="53"/>
        <v>869285.34000000008</v>
      </c>
      <c r="D339" s="75">
        <f t="shared" si="54"/>
        <v>519615.34</v>
      </c>
      <c r="E339" s="261">
        <v>0</v>
      </c>
      <c r="F339" s="261">
        <v>0</v>
      </c>
      <c r="G339" s="261">
        <v>0</v>
      </c>
      <c r="H339" s="261">
        <v>519615.34</v>
      </c>
      <c r="I339" s="261">
        <v>0</v>
      </c>
      <c r="J339" s="262">
        <v>0</v>
      </c>
      <c r="K339" s="261">
        <v>0</v>
      </c>
      <c r="L339" s="261">
        <v>0</v>
      </c>
      <c r="M339" s="261">
        <v>0</v>
      </c>
      <c r="N339" s="261">
        <v>0</v>
      </c>
      <c r="O339" s="261">
        <v>0</v>
      </c>
      <c r="P339" s="263">
        <v>349670</v>
      </c>
      <c r="Q339" s="261">
        <v>0</v>
      </c>
      <c r="R339" s="261">
        <v>0</v>
      </c>
      <c r="S339" s="261">
        <v>0</v>
      </c>
      <c r="T339" s="261">
        <v>0</v>
      </c>
      <c r="U339" s="243"/>
      <c r="V339" s="243"/>
    </row>
    <row r="340" spans="1:39" s="186" customFormat="1" ht="22.5" customHeight="1" x14ac:dyDescent="0.25">
      <c r="A340" s="259">
        <v>6</v>
      </c>
      <c r="B340" s="37" t="s">
        <v>1109</v>
      </c>
      <c r="C340" s="75">
        <f t="shared" si="53"/>
        <v>10142197.380000001</v>
      </c>
      <c r="D340" s="75">
        <f t="shared" si="54"/>
        <v>0</v>
      </c>
      <c r="E340" s="87">
        <v>0</v>
      </c>
      <c r="F340" s="87">
        <v>0</v>
      </c>
      <c r="G340" s="75">
        <v>0</v>
      </c>
      <c r="H340" s="87">
        <v>0</v>
      </c>
      <c r="I340" s="87">
        <v>0</v>
      </c>
      <c r="J340" s="152">
        <v>0</v>
      </c>
      <c r="K340" s="75">
        <v>0</v>
      </c>
      <c r="L340" s="75">
        <v>0</v>
      </c>
      <c r="M340" s="87">
        <v>0</v>
      </c>
      <c r="N340" s="75">
        <v>0</v>
      </c>
      <c r="O340" s="87">
        <v>0</v>
      </c>
      <c r="P340" s="87">
        <v>283310.46000000002</v>
      </c>
      <c r="Q340" s="75">
        <v>0</v>
      </c>
      <c r="R340" s="75">
        <v>0</v>
      </c>
      <c r="S340" s="75">
        <v>9858886.9199999999</v>
      </c>
      <c r="T340" s="75">
        <v>0</v>
      </c>
      <c r="U340" s="239"/>
      <c r="V340" s="239"/>
    </row>
    <row r="341" spans="1:39" s="186" customFormat="1" ht="22.5" customHeight="1" x14ac:dyDescent="0.25">
      <c r="A341" s="25">
        <v>7</v>
      </c>
      <c r="B341" s="37" t="s">
        <v>444</v>
      </c>
      <c r="C341" s="75">
        <f t="shared" si="53"/>
        <v>528380.62</v>
      </c>
      <c r="D341" s="75">
        <f t="shared" si="54"/>
        <v>528380.62</v>
      </c>
      <c r="E341" s="75">
        <v>0</v>
      </c>
      <c r="F341" s="75">
        <v>0</v>
      </c>
      <c r="G341" s="75">
        <v>0</v>
      </c>
      <c r="H341" s="75">
        <v>0</v>
      </c>
      <c r="I341" s="75">
        <v>528380.62</v>
      </c>
      <c r="J341" s="152">
        <v>0</v>
      </c>
      <c r="K341" s="75">
        <v>0</v>
      </c>
      <c r="L341" s="75">
        <v>0</v>
      </c>
      <c r="M341" s="75">
        <v>0</v>
      </c>
      <c r="N341" s="75">
        <v>0</v>
      </c>
      <c r="O341" s="75">
        <v>0</v>
      </c>
      <c r="P341" s="87">
        <v>0</v>
      </c>
      <c r="Q341" s="75">
        <v>0</v>
      </c>
      <c r="R341" s="75">
        <v>0</v>
      </c>
      <c r="S341" s="75">
        <v>0</v>
      </c>
      <c r="T341" s="75">
        <v>0</v>
      </c>
      <c r="U341" s="243"/>
      <c r="V341" s="243"/>
    </row>
    <row r="342" spans="1:39" s="186" customFormat="1" ht="22.5" customHeight="1" x14ac:dyDescent="0.25">
      <c r="A342" s="259">
        <v>8</v>
      </c>
      <c r="B342" s="37" t="s">
        <v>445</v>
      </c>
      <c r="C342" s="75">
        <f t="shared" si="53"/>
        <v>773066.47</v>
      </c>
      <c r="D342" s="75">
        <f t="shared" si="54"/>
        <v>773066.47</v>
      </c>
      <c r="E342" s="75">
        <v>0</v>
      </c>
      <c r="F342" s="75">
        <v>0</v>
      </c>
      <c r="G342" s="75">
        <v>0</v>
      </c>
      <c r="H342" s="75">
        <v>0</v>
      </c>
      <c r="I342" s="75">
        <v>773066.47</v>
      </c>
      <c r="J342" s="152">
        <v>0</v>
      </c>
      <c r="K342" s="75">
        <v>0</v>
      </c>
      <c r="L342" s="75">
        <v>0</v>
      </c>
      <c r="M342" s="75">
        <v>0</v>
      </c>
      <c r="N342" s="75">
        <v>0</v>
      </c>
      <c r="O342" s="75">
        <v>0</v>
      </c>
      <c r="P342" s="87">
        <v>0</v>
      </c>
      <c r="Q342" s="75">
        <v>0</v>
      </c>
      <c r="R342" s="75">
        <v>0</v>
      </c>
      <c r="S342" s="75">
        <v>0</v>
      </c>
      <c r="T342" s="75">
        <v>0</v>
      </c>
      <c r="U342" s="239"/>
      <c r="V342" s="239"/>
    </row>
    <row r="343" spans="1:39" s="186" customFormat="1" ht="22.5" customHeight="1" x14ac:dyDescent="0.25">
      <c r="A343" s="25">
        <v>9</v>
      </c>
      <c r="B343" s="37" t="s">
        <v>1110</v>
      </c>
      <c r="C343" s="75">
        <f t="shared" si="53"/>
        <v>212907.77</v>
      </c>
      <c r="D343" s="75">
        <f t="shared" si="54"/>
        <v>0</v>
      </c>
      <c r="E343" s="75">
        <v>0</v>
      </c>
      <c r="F343" s="75">
        <v>0</v>
      </c>
      <c r="G343" s="75">
        <v>0</v>
      </c>
      <c r="H343" s="87">
        <v>0</v>
      </c>
      <c r="I343" s="75">
        <v>0</v>
      </c>
      <c r="J343" s="152">
        <v>0</v>
      </c>
      <c r="K343" s="75">
        <v>0</v>
      </c>
      <c r="L343" s="75">
        <v>0</v>
      </c>
      <c r="M343" s="75">
        <v>0</v>
      </c>
      <c r="N343" s="75">
        <v>0</v>
      </c>
      <c r="O343" s="87">
        <v>0</v>
      </c>
      <c r="P343" s="87">
        <v>212907.77</v>
      </c>
      <c r="Q343" s="75">
        <v>0</v>
      </c>
      <c r="R343" s="75">
        <v>0</v>
      </c>
      <c r="S343" s="75">
        <v>0</v>
      </c>
      <c r="T343" s="75">
        <v>0</v>
      </c>
      <c r="U343" s="239"/>
      <c r="V343" s="239"/>
    </row>
    <row r="344" spans="1:39" s="186" customFormat="1" ht="22.5" customHeight="1" x14ac:dyDescent="0.25">
      <c r="A344" s="259">
        <v>10</v>
      </c>
      <c r="B344" s="37" t="s">
        <v>1111</v>
      </c>
      <c r="C344" s="75">
        <f t="shared" si="53"/>
        <v>15442094.1</v>
      </c>
      <c r="D344" s="75">
        <f t="shared" si="54"/>
        <v>0</v>
      </c>
      <c r="E344" s="75">
        <v>0</v>
      </c>
      <c r="F344" s="75">
        <v>0</v>
      </c>
      <c r="G344" s="75">
        <v>0</v>
      </c>
      <c r="H344" s="75">
        <v>0</v>
      </c>
      <c r="I344" s="75">
        <v>0</v>
      </c>
      <c r="J344" s="152">
        <v>0</v>
      </c>
      <c r="K344" s="75">
        <v>0</v>
      </c>
      <c r="L344" s="75">
        <v>0</v>
      </c>
      <c r="M344" s="75">
        <v>0</v>
      </c>
      <c r="N344" s="75">
        <v>0</v>
      </c>
      <c r="O344" s="75">
        <v>0</v>
      </c>
      <c r="P344" s="87">
        <v>99103.52</v>
      </c>
      <c r="Q344" s="75">
        <v>0</v>
      </c>
      <c r="R344" s="75">
        <v>0</v>
      </c>
      <c r="S344" s="75">
        <v>15342990.58</v>
      </c>
      <c r="T344" s="75">
        <v>0</v>
      </c>
      <c r="U344" s="239"/>
      <c r="V344" s="239"/>
    </row>
    <row r="345" spans="1:39" s="186" customFormat="1" ht="22.5" customHeight="1" x14ac:dyDescent="0.25">
      <c r="A345" s="25">
        <v>11</v>
      </c>
      <c r="B345" s="37" t="s">
        <v>1112</v>
      </c>
      <c r="C345" s="75">
        <f t="shared" si="53"/>
        <v>15507487.17</v>
      </c>
      <c r="D345" s="75">
        <f t="shared" si="54"/>
        <v>0</v>
      </c>
      <c r="E345" s="75">
        <v>0</v>
      </c>
      <c r="F345" s="75">
        <v>0</v>
      </c>
      <c r="G345" s="75">
        <v>0</v>
      </c>
      <c r="H345" s="75">
        <v>0</v>
      </c>
      <c r="I345" s="75">
        <v>0</v>
      </c>
      <c r="J345" s="152">
        <v>0</v>
      </c>
      <c r="K345" s="75">
        <v>0</v>
      </c>
      <c r="L345" s="75">
        <v>0</v>
      </c>
      <c r="M345" s="75">
        <v>0</v>
      </c>
      <c r="N345" s="75">
        <v>0</v>
      </c>
      <c r="O345" s="75">
        <v>0</v>
      </c>
      <c r="P345" s="87">
        <v>293968.81</v>
      </c>
      <c r="Q345" s="75">
        <v>0</v>
      </c>
      <c r="R345" s="75">
        <v>0</v>
      </c>
      <c r="S345" s="75">
        <v>15213518.359999999</v>
      </c>
      <c r="T345" s="75">
        <v>0</v>
      </c>
      <c r="U345" s="239"/>
      <c r="V345" s="239"/>
    </row>
    <row r="346" spans="1:39" s="186" customFormat="1" ht="22.5" customHeight="1" x14ac:dyDescent="0.25">
      <c r="A346" s="259">
        <v>12</v>
      </c>
      <c r="B346" s="37" t="s">
        <v>1113</v>
      </c>
      <c r="C346" s="75">
        <f t="shared" si="53"/>
        <v>267012.94</v>
      </c>
      <c r="D346" s="75">
        <f t="shared" si="54"/>
        <v>0</v>
      </c>
      <c r="E346" s="75">
        <v>0</v>
      </c>
      <c r="F346" s="75">
        <v>0</v>
      </c>
      <c r="G346" s="75">
        <v>0</v>
      </c>
      <c r="H346" s="75">
        <v>0</v>
      </c>
      <c r="I346" s="75">
        <v>0</v>
      </c>
      <c r="J346" s="152">
        <v>0</v>
      </c>
      <c r="K346" s="75">
        <v>0</v>
      </c>
      <c r="L346" s="75">
        <v>0</v>
      </c>
      <c r="M346" s="75">
        <v>0</v>
      </c>
      <c r="N346" s="75">
        <v>0</v>
      </c>
      <c r="O346" s="75">
        <v>0</v>
      </c>
      <c r="P346" s="87">
        <v>267012.94</v>
      </c>
      <c r="Q346" s="75">
        <v>0</v>
      </c>
      <c r="R346" s="75">
        <v>0</v>
      </c>
      <c r="S346" s="75">
        <v>0</v>
      </c>
      <c r="T346" s="75">
        <v>0</v>
      </c>
      <c r="U346" s="239"/>
      <c r="V346" s="239"/>
    </row>
    <row r="347" spans="1:39" s="186" customFormat="1" ht="22.5" customHeight="1" x14ac:dyDescent="0.25">
      <c r="A347" s="25">
        <v>13</v>
      </c>
      <c r="B347" s="37" t="s">
        <v>1114</v>
      </c>
      <c r="C347" s="75">
        <f t="shared" si="53"/>
        <v>262697.78999999998</v>
      </c>
      <c r="D347" s="75">
        <f t="shared" si="54"/>
        <v>0</v>
      </c>
      <c r="E347" s="75">
        <v>0</v>
      </c>
      <c r="F347" s="75">
        <v>0</v>
      </c>
      <c r="G347" s="75">
        <v>0</v>
      </c>
      <c r="H347" s="75">
        <v>0</v>
      </c>
      <c r="I347" s="75">
        <v>0</v>
      </c>
      <c r="J347" s="152">
        <v>0</v>
      </c>
      <c r="K347" s="75">
        <v>0</v>
      </c>
      <c r="L347" s="87">
        <v>0</v>
      </c>
      <c r="M347" s="75">
        <v>0</v>
      </c>
      <c r="N347" s="87">
        <v>0</v>
      </c>
      <c r="O347" s="75">
        <v>0</v>
      </c>
      <c r="P347" s="87">
        <v>262697.78999999998</v>
      </c>
      <c r="Q347" s="75">
        <v>0</v>
      </c>
      <c r="R347" s="75">
        <v>0</v>
      </c>
      <c r="S347" s="75">
        <v>0</v>
      </c>
      <c r="T347" s="75">
        <v>0</v>
      </c>
      <c r="U347" s="239"/>
      <c r="V347" s="239"/>
    </row>
    <row r="348" spans="1:39" s="186" customFormat="1" ht="22.5" customHeight="1" x14ac:dyDescent="0.25">
      <c r="A348" s="259">
        <v>14</v>
      </c>
      <c r="B348" s="37" t="s">
        <v>1115</v>
      </c>
      <c r="C348" s="75">
        <f t="shared" si="53"/>
        <v>262697.78999999998</v>
      </c>
      <c r="D348" s="75">
        <f t="shared" si="54"/>
        <v>0</v>
      </c>
      <c r="E348" s="75">
        <v>0</v>
      </c>
      <c r="F348" s="75">
        <v>0</v>
      </c>
      <c r="G348" s="75">
        <v>0</v>
      </c>
      <c r="H348" s="75">
        <v>0</v>
      </c>
      <c r="I348" s="75">
        <v>0</v>
      </c>
      <c r="J348" s="152">
        <v>0</v>
      </c>
      <c r="K348" s="75">
        <v>0</v>
      </c>
      <c r="L348" s="87">
        <v>0</v>
      </c>
      <c r="M348" s="75">
        <v>0</v>
      </c>
      <c r="N348" s="87">
        <v>0</v>
      </c>
      <c r="O348" s="75">
        <v>0</v>
      </c>
      <c r="P348" s="87">
        <v>262697.78999999998</v>
      </c>
      <c r="Q348" s="75">
        <v>0</v>
      </c>
      <c r="R348" s="75">
        <v>0</v>
      </c>
      <c r="S348" s="75">
        <v>0</v>
      </c>
      <c r="T348" s="75">
        <v>0</v>
      </c>
      <c r="U348" s="239"/>
      <c r="V348" s="239"/>
    </row>
    <row r="349" spans="1:39" s="186" customFormat="1" ht="29.25" customHeight="1" x14ac:dyDescent="0.25">
      <c r="A349" s="322" t="s">
        <v>452</v>
      </c>
      <c r="B349" s="322"/>
      <c r="C349" s="118">
        <f t="shared" ref="C349:T349" si="55">SUM(C350:C359)</f>
        <v>50131385.139999993</v>
      </c>
      <c r="D349" s="118">
        <f t="shared" si="55"/>
        <v>2272272</v>
      </c>
      <c r="E349" s="118">
        <f t="shared" si="55"/>
        <v>0</v>
      </c>
      <c r="F349" s="118">
        <f t="shared" si="55"/>
        <v>1842348</v>
      </c>
      <c r="G349" s="118">
        <f t="shared" si="55"/>
        <v>0</v>
      </c>
      <c r="H349" s="118">
        <f t="shared" si="55"/>
        <v>193474.8</v>
      </c>
      <c r="I349" s="118">
        <f t="shared" si="55"/>
        <v>236449.2</v>
      </c>
      <c r="J349" s="119">
        <f t="shared" si="55"/>
        <v>0</v>
      </c>
      <c r="K349" s="118">
        <f t="shared" si="55"/>
        <v>0</v>
      </c>
      <c r="L349" s="118">
        <f t="shared" si="55"/>
        <v>25154080.329999998</v>
      </c>
      <c r="M349" s="118">
        <f t="shared" si="55"/>
        <v>0</v>
      </c>
      <c r="N349" s="118">
        <f t="shared" si="55"/>
        <v>22705032.810000002</v>
      </c>
      <c r="O349" s="118">
        <f t="shared" si="55"/>
        <v>0</v>
      </c>
      <c r="P349" s="118">
        <f t="shared" si="55"/>
        <v>0</v>
      </c>
      <c r="Q349" s="118">
        <f t="shared" si="55"/>
        <v>0</v>
      </c>
      <c r="R349" s="118">
        <f t="shared" si="55"/>
        <v>0</v>
      </c>
      <c r="S349" s="118">
        <f t="shared" si="55"/>
        <v>0</v>
      </c>
      <c r="T349" s="118">
        <f t="shared" si="55"/>
        <v>0</v>
      </c>
      <c r="U349" s="238"/>
      <c r="V349" s="238"/>
    </row>
    <row r="350" spans="1:39" s="186" customFormat="1" ht="22.5" customHeight="1" x14ac:dyDescent="0.25">
      <c r="A350" s="25">
        <v>1</v>
      </c>
      <c r="B350" s="26" t="s">
        <v>453</v>
      </c>
      <c r="C350" s="75">
        <f t="shared" ref="C350:C359" si="56">D350+K350+L350+M350+N350+O350+P350+Q350+R350+S350+T350</f>
        <v>4971031.1399999997</v>
      </c>
      <c r="D350" s="75">
        <f t="shared" ref="D350:D359" si="57">SUM(E350:I350)</f>
        <v>0</v>
      </c>
      <c r="E350" s="87">
        <v>0</v>
      </c>
      <c r="F350" s="75">
        <v>0</v>
      </c>
      <c r="G350" s="75">
        <v>0</v>
      </c>
      <c r="H350" s="87">
        <v>0</v>
      </c>
      <c r="I350" s="75">
        <v>0</v>
      </c>
      <c r="J350" s="152">
        <v>0</v>
      </c>
      <c r="K350" s="87">
        <v>0</v>
      </c>
      <c r="L350" s="75">
        <v>4971031.1399999997</v>
      </c>
      <c r="M350" s="87">
        <v>0</v>
      </c>
      <c r="N350" s="75">
        <v>0</v>
      </c>
      <c r="O350" s="75">
        <v>0</v>
      </c>
      <c r="P350" s="87">
        <v>0</v>
      </c>
      <c r="Q350" s="75">
        <v>0</v>
      </c>
      <c r="R350" s="75">
        <v>0</v>
      </c>
      <c r="S350" s="75">
        <v>0</v>
      </c>
      <c r="T350" s="75">
        <v>0</v>
      </c>
      <c r="U350" s="254"/>
      <c r="V350" s="254"/>
    </row>
    <row r="351" spans="1:39" s="186" customFormat="1" ht="22.5" customHeight="1" x14ac:dyDescent="0.25">
      <c r="A351" s="25">
        <v>2</v>
      </c>
      <c r="B351" s="26" t="s">
        <v>454</v>
      </c>
      <c r="C351" s="75">
        <f t="shared" si="56"/>
        <v>5165490.9800000004</v>
      </c>
      <c r="D351" s="75">
        <f t="shared" si="57"/>
        <v>0</v>
      </c>
      <c r="E351" s="75">
        <v>0</v>
      </c>
      <c r="F351" s="75">
        <v>0</v>
      </c>
      <c r="G351" s="75">
        <v>0</v>
      </c>
      <c r="H351" s="75">
        <v>0</v>
      </c>
      <c r="I351" s="75">
        <v>0</v>
      </c>
      <c r="J351" s="152">
        <v>0</v>
      </c>
      <c r="K351" s="75">
        <v>0</v>
      </c>
      <c r="L351" s="87">
        <v>0</v>
      </c>
      <c r="M351" s="75">
        <v>0</v>
      </c>
      <c r="N351" s="87">
        <v>5165490.9800000004</v>
      </c>
      <c r="O351" s="75">
        <v>0</v>
      </c>
      <c r="P351" s="87">
        <v>0</v>
      </c>
      <c r="Q351" s="75">
        <v>0</v>
      </c>
      <c r="R351" s="75">
        <v>0</v>
      </c>
      <c r="S351" s="75">
        <v>0</v>
      </c>
      <c r="T351" s="75">
        <v>0</v>
      </c>
      <c r="U351" s="238"/>
      <c r="V351" s="238"/>
    </row>
    <row r="352" spans="1:39" s="186" customFormat="1" ht="22.5" customHeight="1" x14ac:dyDescent="0.25">
      <c r="A352" s="25">
        <v>3</v>
      </c>
      <c r="B352" s="26" t="s">
        <v>455</v>
      </c>
      <c r="C352" s="75">
        <f t="shared" si="56"/>
        <v>8183947.8200000003</v>
      </c>
      <c r="D352" s="75">
        <f t="shared" si="57"/>
        <v>0</v>
      </c>
      <c r="E352" s="87">
        <v>0</v>
      </c>
      <c r="F352" s="75">
        <v>0</v>
      </c>
      <c r="G352" s="75">
        <v>0</v>
      </c>
      <c r="H352" s="75">
        <v>0</v>
      </c>
      <c r="I352" s="75">
        <v>0</v>
      </c>
      <c r="J352" s="152">
        <v>0</v>
      </c>
      <c r="K352" s="87">
        <v>0</v>
      </c>
      <c r="L352" s="87">
        <v>0</v>
      </c>
      <c r="M352" s="75">
        <v>0</v>
      </c>
      <c r="N352" s="75">
        <v>8183947.8200000003</v>
      </c>
      <c r="O352" s="87">
        <v>0</v>
      </c>
      <c r="P352" s="87">
        <v>0</v>
      </c>
      <c r="Q352" s="75">
        <v>0</v>
      </c>
      <c r="R352" s="75">
        <v>0</v>
      </c>
      <c r="S352" s="75">
        <v>0</v>
      </c>
      <c r="T352" s="75">
        <v>0</v>
      </c>
      <c r="U352" s="254"/>
      <c r="V352" s="254"/>
    </row>
    <row r="353" spans="1:39" s="186" customFormat="1" ht="22.5" customHeight="1" x14ac:dyDescent="0.25">
      <c r="A353" s="25">
        <v>4</v>
      </c>
      <c r="B353" s="26" t="s">
        <v>457</v>
      </c>
      <c r="C353" s="75">
        <f t="shared" si="56"/>
        <v>2774766.65</v>
      </c>
      <c r="D353" s="75">
        <f t="shared" si="57"/>
        <v>0</v>
      </c>
      <c r="E353" s="87">
        <v>0</v>
      </c>
      <c r="F353" s="87">
        <v>0</v>
      </c>
      <c r="G353" s="87">
        <v>0</v>
      </c>
      <c r="H353" s="87">
        <v>0</v>
      </c>
      <c r="I353" s="87">
        <v>0</v>
      </c>
      <c r="J353" s="152">
        <v>0</v>
      </c>
      <c r="K353" s="87">
        <v>0</v>
      </c>
      <c r="L353" s="75">
        <v>2774766.65</v>
      </c>
      <c r="M353" s="75">
        <v>0</v>
      </c>
      <c r="N353" s="75">
        <v>0</v>
      </c>
      <c r="O353" s="75">
        <v>0</v>
      </c>
      <c r="P353" s="87">
        <v>0</v>
      </c>
      <c r="Q353" s="75">
        <v>0</v>
      </c>
      <c r="R353" s="75">
        <v>0</v>
      </c>
      <c r="S353" s="75">
        <v>0</v>
      </c>
      <c r="T353" s="75">
        <v>0</v>
      </c>
      <c r="U353" s="254"/>
      <c r="V353" s="254"/>
    </row>
    <row r="354" spans="1:39" s="186" customFormat="1" ht="22.5" customHeight="1" x14ac:dyDescent="0.25">
      <c r="A354" s="25">
        <v>5</v>
      </c>
      <c r="B354" s="26" t="s">
        <v>458</v>
      </c>
      <c r="C354" s="75">
        <f t="shared" si="56"/>
        <v>6231085.7400000002</v>
      </c>
      <c r="D354" s="75">
        <f t="shared" si="57"/>
        <v>0</v>
      </c>
      <c r="E354" s="75">
        <v>0</v>
      </c>
      <c r="F354" s="75">
        <v>0</v>
      </c>
      <c r="G354" s="75">
        <v>0</v>
      </c>
      <c r="H354" s="75">
        <v>0</v>
      </c>
      <c r="I354" s="75">
        <v>0</v>
      </c>
      <c r="J354" s="152">
        <v>0</v>
      </c>
      <c r="K354" s="75">
        <v>0</v>
      </c>
      <c r="L354" s="87">
        <v>6231085.7400000002</v>
      </c>
      <c r="M354" s="75">
        <v>0</v>
      </c>
      <c r="N354" s="87">
        <v>0</v>
      </c>
      <c r="O354" s="75">
        <v>0</v>
      </c>
      <c r="P354" s="87">
        <v>0</v>
      </c>
      <c r="Q354" s="75">
        <v>0</v>
      </c>
      <c r="R354" s="75">
        <v>0</v>
      </c>
      <c r="S354" s="75">
        <v>0</v>
      </c>
      <c r="T354" s="75">
        <v>0</v>
      </c>
      <c r="U354" s="243"/>
      <c r="V354" s="243"/>
      <c r="W354" s="40"/>
      <c r="X354" s="40"/>
      <c r="Y354" s="40"/>
      <c r="Z354" s="40"/>
      <c r="AA354" s="40"/>
      <c r="AB354" s="40"/>
      <c r="AC354" s="40"/>
      <c r="AD354" s="40"/>
      <c r="AE354" s="40"/>
      <c r="AF354" s="40"/>
      <c r="AG354" s="40"/>
      <c r="AH354" s="40"/>
      <c r="AI354" s="40"/>
    </row>
    <row r="355" spans="1:39" s="186" customFormat="1" ht="22.5" customHeight="1" x14ac:dyDescent="0.25">
      <c r="A355" s="25">
        <v>6</v>
      </c>
      <c r="B355" s="26" t="s">
        <v>459</v>
      </c>
      <c r="C355" s="75">
        <f t="shared" si="56"/>
        <v>6100174.3899999997</v>
      </c>
      <c r="D355" s="75">
        <f t="shared" si="57"/>
        <v>0</v>
      </c>
      <c r="E355" s="75">
        <v>0</v>
      </c>
      <c r="F355" s="75">
        <v>0</v>
      </c>
      <c r="G355" s="75">
        <v>0</v>
      </c>
      <c r="H355" s="75">
        <v>0</v>
      </c>
      <c r="I355" s="75">
        <v>0</v>
      </c>
      <c r="J355" s="152">
        <v>0</v>
      </c>
      <c r="K355" s="75">
        <v>0</v>
      </c>
      <c r="L355" s="87">
        <v>6100174.3899999997</v>
      </c>
      <c r="M355" s="75">
        <v>0</v>
      </c>
      <c r="N355" s="87">
        <v>0</v>
      </c>
      <c r="O355" s="75">
        <v>0</v>
      </c>
      <c r="P355" s="87">
        <v>0</v>
      </c>
      <c r="Q355" s="75">
        <v>0</v>
      </c>
      <c r="R355" s="75">
        <v>0</v>
      </c>
      <c r="S355" s="75">
        <v>0</v>
      </c>
      <c r="T355" s="75">
        <v>0</v>
      </c>
      <c r="U355" s="243"/>
      <c r="V355" s="243"/>
      <c r="W355" s="40"/>
      <c r="X355" s="40"/>
      <c r="Y355" s="40"/>
      <c r="Z355" s="40"/>
      <c r="AA355" s="40"/>
      <c r="AB355" s="40"/>
      <c r="AC355" s="40"/>
      <c r="AD355" s="40"/>
      <c r="AE355" s="40"/>
      <c r="AF355" s="40"/>
      <c r="AG355" s="40"/>
      <c r="AH355" s="40"/>
      <c r="AI355" s="40"/>
    </row>
    <row r="356" spans="1:39" s="186" customFormat="1" ht="22.5" customHeight="1" x14ac:dyDescent="0.25">
      <c r="A356" s="25">
        <v>7</v>
      </c>
      <c r="B356" s="26" t="s">
        <v>460</v>
      </c>
      <c r="C356" s="75">
        <f t="shared" si="56"/>
        <v>5077022.41</v>
      </c>
      <c r="D356" s="75">
        <f t="shared" si="57"/>
        <v>0</v>
      </c>
      <c r="E356" s="87">
        <v>0</v>
      </c>
      <c r="F356" s="75">
        <v>0</v>
      </c>
      <c r="G356" s="75">
        <v>0</v>
      </c>
      <c r="H356" s="87">
        <v>0</v>
      </c>
      <c r="I356" s="75">
        <v>0</v>
      </c>
      <c r="J356" s="152">
        <v>0</v>
      </c>
      <c r="K356" s="75">
        <v>0</v>
      </c>
      <c r="L356" s="87">
        <v>5077022.41</v>
      </c>
      <c r="M356" s="87">
        <v>0</v>
      </c>
      <c r="N356" s="87">
        <v>0</v>
      </c>
      <c r="O356" s="75">
        <v>0</v>
      </c>
      <c r="P356" s="87">
        <v>0</v>
      </c>
      <c r="Q356" s="75">
        <v>0</v>
      </c>
      <c r="R356" s="75">
        <v>0</v>
      </c>
      <c r="S356" s="75">
        <v>0</v>
      </c>
      <c r="T356" s="75">
        <v>0</v>
      </c>
      <c r="U356" s="254"/>
      <c r="V356" s="254"/>
    </row>
    <row r="357" spans="1:39" s="186" customFormat="1" ht="22.5" customHeight="1" x14ac:dyDescent="0.25">
      <c r="A357" s="25">
        <v>8</v>
      </c>
      <c r="B357" s="26" t="s">
        <v>462</v>
      </c>
      <c r="C357" s="75">
        <f t="shared" si="56"/>
        <v>4878003.46</v>
      </c>
      <c r="D357" s="75">
        <f t="shared" si="57"/>
        <v>0</v>
      </c>
      <c r="E357" s="87">
        <v>0</v>
      </c>
      <c r="F357" s="87">
        <v>0</v>
      </c>
      <c r="G357" s="75">
        <v>0</v>
      </c>
      <c r="H357" s="87">
        <v>0</v>
      </c>
      <c r="I357" s="75">
        <v>0</v>
      </c>
      <c r="J357" s="152">
        <v>0</v>
      </c>
      <c r="K357" s="75">
        <v>0</v>
      </c>
      <c r="L357" s="75">
        <v>0</v>
      </c>
      <c r="M357" s="75">
        <v>0</v>
      </c>
      <c r="N357" s="75">
        <v>4878003.46</v>
      </c>
      <c r="O357" s="75">
        <v>0</v>
      </c>
      <c r="P357" s="87">
        <v>0</v>
      </c>
      <c r="Q357" s="75">
        <v>0</v>
      </c>
      <c r="R357" s="75">
        <v>0</v>
      </c>
      <c r="S357" s="75">
        <v>0</v>
      </c>
      <c r="T357" s="75">
        <v>0</v>
      </c>
      <c r="U357" s="238"/>
      <c r="V357" s="238"/>
      <c r="W357" s="40"/>
      <c r="X357" s="40"/>
      <c r="Y357" s="40"/>
      <c r="Z357" s="40"/>
      <c r="AA357" s="40"/>
      <c r="AB357" s="40"/>
      <c r="AC357" s="40"/>
      <c r="AD357" s="40"/>
      <c r="AE357" s="40"/>
      <c r="AF357" s="40"/>
      <c r="AG357" s="40"/>
      <c r="AH357" s="40"/>
      <c r="AI357" s="40"/>
      <c r="AJ357" s="40"/>
      <c r="AK357" s="40"/>
      <c r="AL357" s="40"/>
      <c r="AM357" s="40"/>
    </row>
    <row r="358" spans="1:39" s="186" customFormat="1" ht="22.5" customHeight="1" x14ac:dyDescent="0.25">
      <c r="A358" s="25">
        <v>9</v>
      </c>
      <c r="B358" s="26" t="s">
        <v>463</v>
      </c>
      <c r="C358" s="75">
        <f t="shared" si="56"/>
        <v>4477590.55</v>
      </c>
      <c r="D358" s="75">
        <f t="shared" si="57"/>
        <v>0</v>
      </c>
      <c r="E358" s="87">
        <v>0</v>
      </c>
      <c r="F358" s="87">
        <v>0</v>
      </c>
      <c r="G358" s="75">
        <v>0</v>
      </c>
      <c r="H358" s="87">
        <v>0</v>
      </c>
      <c r="I358" s="75">
        <v>0</v>
      </c>
      <c r="J358" s="152">
        <v>0</v>
      </c>
      <c r="K358" s="87">
        <v>0</v>
      </c>
      <c r="L358" s="87">
        <v>0</v>
      </c>
      <c r="M358" s="75">
        <v>0</v>
      </c>
      <c r="N358" s="75">
        <v>4477590.55</v>
      </c>
      <c r="O358" s="75">
        <v>0</v>
      </c>
      <c r="P358" s="87">
        <v>0</v>
      </c>
      <c r="Q358" s="75">
        <v>0</v>
      </c>
      <c r="R358" s="75">
        <v>0</v>
      </c>
      <c r="S358" s="75">
        <v>0</v>
      </c>
      <c r="T358" s="75">
        <v>0</v>
      </c>
      <c r="U358" s="254"/>
      <c r="V358" s="254"/>
    </row>
    <row r="359" spans="1:39" s="186" customFormat="1" ht="22.5" customHeight="1" x14ac:dyDescent="0.25">
      <c r="A359" s="25">
        <v>10</v>
      </c>
      <c r="B359" s="26" t="s">
        <v>464</v>
      </c>
      <c r="C359" s="75">
        <f t="shared" si="56"/>
        <v>2272272</v>
      </c>
      <c r="D359" s="75">
        <f t="shared" si="57"/>
        <v>2272272</v>
      </c>
      <c r="E359" s="87">
        <v>0</v>
      </c>
      <c r="F359" s="87">
        <v>1842348</v>
      </c>
      <c r="G359" s="75">
        <v>0</v>
      </c>
      <c r="H359" s="87">
        <v>193474.8</v>
      </c>
      <c r="I359" s="75">
        <v>236449.2</v>
      </c>
      <c r="J359" s="152">
        <v>0</v>
      </c>
      <c r="K359" s="87">
        <v>0</v>
      </c>
      <c r="L359" s="87">
        <v>0</v>
      </c>
      <c r="M359" s="75">
        <v>0</v>
      </c>
      <c r="N359" s="75">
        <v>0</v>
      </c>
      <c r="O359" s="75">
        <v>0</v>
      </c>
      <c r="P359" s="87">
        <v>0</v>
      </c>
      <c r="Q359" s="75">
        <v>0</v>
      </c>
      <c r="R359" s="75">
        <v>0</v>
      </c>
      <c r="S359" s="75">
        <v>0</v>
      </c>
      <c r="T359" s="75">
        <v>0</v>
      </c>
      <c r="U359" s="254"/>
      <c r="V359" s="254"/>
    </row>
    <row r="360" spans="1:39" s="186" customFormat="1" ht="22.5" customHeight="1" x14ac:dyDescent="0.25">
      <c r="A360" s="326" t="s">
        <v>465</v>
      </c>
      <c r="B360" s="326"/>
      <c r="C360" s="118">
        <f t="shared" ref="C360:T360" si="58">SUM(C361:C369)</f>
        <v>14154042</v>
      </c>
      <c r="D360" s="118">
        <f t="shared" si="58"/>
        <v>8293085.2400000002</v>
      </c>
      <c r="E360" s="118">
        <f t="shared" si="58"/>
        <v>2227548.08</v>
      </c>
      <c r="F360" s="118">
        <f t="shared" si="58"/>
        <v>2335472.96</v>
      </c>
      <c r="G360" s="118">
        <f t="shared" si="58"/>
        <v>427252.15</v>
      </c>
      <c r="H360" s="118">
        <f t="shared" si="58"/>
        <v>1180861.8299999998</v>
      </c>
      <c r="I360" s="118">
        <f t="shared" si="58"/>
        <v>2121950.2200000002</v>
      </c>
      <c r="J360" s="119">
        <f t="shared" si="58"/>
        <v>0</v>
      </c>
      <c r="K360" s="118">
        <f t="shared" si="58"/>
        <v>0</v>
      </c>
      <c r="L360" s="118">
        <f t="shared" si="58"/>
        <v>4375216.8099999996</v>
      </c>
      <c r="M360" s="118">
        <f t="shared" si="58"/>
        <v>0</v>
      </c>
      <c r="N360" s="118">
        <f t="shared" si="58"/>
        <v>0</v>
      </c>
      <c r="O360" s="118">
        <f t="shared" si="58"/>
        <v>0</v>
      </c>
      <c r="P360" s="118">
        <f t="shared" si="58"/>
        <v>1485739.95</v>
      </c>
      <c r="Q360" s="118">
        <f t="shared" si="58"/>
        <v>0</v>
      </c>
      <c r="R360" s="118">
        <f t="shared" si="58"/>
        <v>0</v>
      </c>
      <c r="S360" s="118">
        <f t="shared" si="58"/>
        <v>0</v>
      </c>
      <c r="T360" s="118">
        <f t="shared" si="58"/>
        <v>0</v>
      </c>
      <c r="U360" s="252"/>
      <c r="V360" s="252"/>
    </row>
    <row r="361" spans="1:39" s="186" customFormat="1" ht="22.5" customHeight="1" x14ac:dyDescent="0.25">
      <c r="A361" s="25">
        <v>1</v>
      </c>
      <c r="B361" s="38" t="s">
        <v>1116</v>
      </c>
      <c r="C361" s="75">
        <f t="shared" ref="C361:C369" si="59">D361+K361+L361+M361+N361+O361+P361+Q361+R361+S361+T361</f>
        <v>3095482.17</v>
      </c>
      <c r="D361" s="75">
        <f t="shared" ref="D361:D369" si="60">SUM(E361:I361)</f>
        <v>2674570.15</v>
      </c>
      <c r="E361" s="75">
        <v>0</v>
      </c>
      <c r="F361" s="75">
        <v>1329984.74</v>
      </c>
      <c r="G361" s="75">
        <v>273491.5</v>
      </c>
      <c r="H361" s="75">
        <v>319104.21999999997</v>
      </c>
      <c r="I361" s="75">
        <v>751989.69</v>
      </c>
      <c r="J361" s="152">
        <v>0</v>
      </c>
      <c r="K361" s="75">
        <v>0</v>
      </c>
      <c r="L361" s="87">
        <v>0</v>
      </c>
      <c r="M361" s="75">
        <v>0</v>
      </c>
      <c r="N361" s="87">
        <v>0</v>
      </c>
      <c r="O361" s="75">
        <v>0</v>
      </c>
      <c r="P361" s="87">
        <v>420912.02</v>
      </c>
      <c r="Q361" s="75">
        <v>0</v>
      </c>
      <c r="R361" s="75">
        <v>0</v>
      </c>
      <c r="S361" s="75">
        <v>0</v>
      </c>
      <c r="T361" s="75">
        <v>0</v>
      </c>
      <c r="U361" s="253"/>
      <c r="V361" s="253"/>
    </row>
    <row r="362" spans="1:39" s="186" customFormat="1" ht="22.5" customHeight="1" x14ac:dyDescent="0.25">
      <c r="A362" s="25">
        <v>2</v>
      </c>
      <c r="B362" s="38" t="s">
        <v>1117</v>
      </c>
      <c r="C362" s="75">
        <f t="shared" si="59"/>
        <v>701311.7</v>
      </c>
      <c r="D362" s="75">
        <f t="shared" si="60"/>
        <v>302570.11</v>
      </c>
      <c r="E362" s="75">
        <v>0</v>
      </c>
      <c r="F362" s="75">
        <v>0</v>
      </c>
      <c r="G362" s="75">
        <v>0</v>
      </c>
      <c r="H362" s="75">
        <v>302570.11</v>
      </c>
      <c r="I362" s="75">
        <v>0</v>
      </c>
      <c r="J362" s="152">
        <v>0</v>
      </c>
      <c r="K362" s="75">
        <v>0</v>
      </c>
      <c r="L362" s="75">
        <v>0</v>
      </c>
      <c r="M362" s="75">
        <v>0</v>
      </c>
      <c r="N362" s="75">
        <v>0</v>
      </c>
      <c r="O362" s="75">
        <v>0</v>
      </c>
      <c r="P362" s="87">
        <f>209569.02+189172.57</f>
        <v>398741.58999999997</v>
      </c>
      <c r="Q362" s="75">
        <v>0</v>
      </c>
      <c r="R362" s="75">
        <v>0</v>
      </c>
      <c r="S362" s="75">
        <v>0</v>
      </c>
      <c r="T362" s="75">
        <v>0</v>
      </c>
      <c r="U362" s="253"/>
      <c r="V362" s="253"/>
    </row>
    <row r="363" spans="1:39" s="186" customFormat="1" ht="22.5" customHeight="1" x14ac:dyDescent="0.25">
      <c r="A363" s="25">
        <v>3</v>
      </c>
      <c r="B363" s="38" t="s">
        <v>1118</v>
      </c>
      <c r="C363" s="75">
        <f t="shared" si="59"/>
        <v>210123.73</v>
      </c>
      <c r="D363" s="75">
        <f t="shared" si="60"/>
        <v>0</v>
      </c>
      <c r="E363" s="75">
        <v>0</v>
      </c>
      <c r="F363" s="75">
        <v>0</v>
      </c>
      <c r="G363" s="75">
        <v>0</v>
      </c>
      <c r="H363" s="75">
        <v>0</v>
      </c>
      <c r="I363" s="75">
        <v>0</v>
      </c>
      <c r="J363" s="152">
        <v>0</v>
      </c>
      <c r="K363" s="75">
        <v>0</v>
      </c>
      <c r="L363" s="75">
        <v>0</v>
      </c>
      <c r="M363" s="75">
        <v>0</v>
      </c>
      <c r="N363" s="75">
        <v>0</v>
      </c>
      <c r="O363" s="75">
        <v>0</v>
      </c>
      <c r="P363" s="87">
        <v>210123.73</v>
      </c>
      <c r="Q363" s="75">
        <v>0</v>
      </c>
      <c r="R363" s="75">
        <v>0</v>
      </c>
      <c r="S363" s="75">
        <v>0</v>
      </c>
      <c r="T363" s="75">
        <v>0</v>
      </c>
      <c r="U363" s="253"/>
      <c r="V363" s="253"/>
    </row>
    <row r="364" spans="1:39" s="186" customFormat="1" ht="30" customHeight="1" x14ac:dyDescent="0.25">
      <c r="A364" s="25">
        <v>4</v>
      </c>
      <c r="B364" s="38" t="s">
        <v>1119</v>
      </c>
      <c r="C364" s="75">
        <f t="shared" si="59"/>
        <v>216008.39</v>
      </c>
      <c r="D364" s="75">
        <f t="shared" si="60"/>
        <v>0</v>
      </c>
      <c r="E364" s="75">
        <v>0</v>
      </c>
      <c r="F364" s="75">
        <v>0</v>
      </c>
      <c r="G364" s="75">
        <v>0</v>
      </c>
      <c r="H364" s="75">
        <v>0</v>
      </c>
      <c r="I364" s="75">
        <v>0</v>
      </c>
      <c r="J364" s="152">
        <v>0</v>
      </c>
      <c r="K364" s="75">
        <v>0</v>
      </c>
      <c r="L364" s="75">
        <v>0</v>
      </c>
      <c r="M364" s="75">
        <v>0</v>
      </c>
      <c r="N364" s="75">
        <v>0</v>
      </c>
      <c r="O364" s="75">
        <v>0</v>
      </c>
      <c r="P364" s="87">
        <v>216008.39</v>
      </c>
      <c r="Q364" s="75">
        <v>0</v>
      </c>
      <c r="R364" s="75">
        <v>0</v>
      </c>
      <c r="S364" s="75">
        <v>0</v>
      </c>
      <c r="T364" s="75">
        <v>0</v>
      </c>
      <c r="U364" s="253"/>
      <c r="V364" s="253"/>
    </row>
    <row r="365" spans="1:39" s="186" customFormat="1" ht="22.5" customHeight="1" x14ac:dyDescent="0.25">
      <c r="A365" s="25">
        <v>5</v>
      </c>
      <c r="B365" s="38" t="s">
        <v>470</v>
      </c>
      <c r="C365" s="75">
        <f t="shared" si="59"/>
        <v>1380679.2</v>
      </c>
      <c r="D365" s="75">
        <f t="shared" si="60"/>
        <v>1380679.2</v>
      </c>
      <c r="E365" s="75">
        <v>450394.8</v>
      </c>
      <c r="F365" s="75">
        <v>0</v>
      </c>
      <c r="G365" s="75">
        <v>0</v>
      </c>
      <c r="H365" s="75">
        <v>301996.79999999999</v>
      </c>
      <c r="I365" s="75">
        <v>628287.6</v>
      </c>
      <c r="J365" s="152">
        <v>0</v>
      </c>
      <c r="K365" s="75">
        <v>0</v>
      </c>
      <c r="L365" s="75">
        <v>0</v>
      </c>
      <c r="M365" s="75">
        <v>0</v>
      </c>
      <c r="N365" s="75">
        <v>0</v>
      </c>
      <c r="O365" s="75">
        <v>0</v>
      </c>
      <c r="P365" s="87">
        <v>0</v>
      </c>
      <c r="Q365" s="75">
        <v>0</v>
      </c>
      <c r="R365" s="75">
        <v>0</v>
      </c>
      <c r="S365" s="75">
        <v>0</v>
      </c>
      <c r="T365" s="75">
        <v>0</v>
      </c>
      <c r="U365" s="253"/>
      <c r="V365" s="253"/>
    </row>
    <row r="366" spans="1:39" s="186" customFormat="1" ht="22.5" customHeight="1" x14ac:dyDescent="0.25">
      <c r="A366" s="25">
        <v>6</v>
      </c>
      <c r="B366" s="38" t="s">
        <v>1120</v>
      </c>
      <c r="C366" s="75">
        <f t="shared" si="59"/>
        <v>2421323.9200000004</v>
      </c>
      <c r="D366" s="75">
        <f t="shared" si="60"/>
        <v>2181369.7000000002</v>
      </c>
      <c r="E366" s="75">
        <v>260349.6</v>
      </c>
      <c r="F366" s="75">
        <v>1005488.22</v>
      </c>
      <c r="G366" s="75">
        <v>153760.65</v>
      </c>
      <c r="H366" s="75">
        <v>257190.7</v>
      </c>
      <c r="I366" s="75">
        <v>504580.53</v>
      </c>
      <c r="J366" s="152">
        <v>0</v>
      </c>
      <c r="K366" s="75">
        <v>0</v>
      </c>
      <c r="L366" s="87">
        <v>0</v>
      </c>
      <c r="M366" s="75">
        <v>0</v>
      </c>
      <c r="N366" s="87">
        <v>0</v>
      </c>
      <c r="O366" s="75">
        <v>0</v>
      </c>
      <c r="P366" s="87">
        <v>239954.22</v>
      </c>
      <c r="Q366" s="75">
        <v>0</v>
      </c>
      <c r="R366" s="75">
        <v>0</v>
      </c>
      <c r="S366" s="75">
        <v>0</v>
      </c>
      <c r="T366" s="75">
        <v>0</v>
      </c>
      <c r="U366" s="253"/>
      <c r="V366" s="253"/>
    </row>
    <row r="367" spans="1:39" s="186" customFormat="1" ht="22.5" customHeight="1" x14ac:dyDescent="0.25">
      <c r="A367" s="25">
        <v>7</v>
      </c>
      <c r="B367" s="38" t="s">
        <v>472</v>
      </c>
      <c r="C367" s="75">
        <f t="shared" si="59"/>
        <v>4612309.21</v>
      </c>
      <c r="D367" s="75">
        <f t="shared" si="60"/>
        <v>237092.4</v>
      </c>
      <c r="E367" s="75">
        <v>0</v>
      </c>
      <c r="F367" s="75">
        <v>0</v>
      </c>
      <c r="G367" s="75">
        <v>0</v>
      </c>
      <c r="H367" s="75">
        <v>0</v>
      </c>
      <c r="I367" s="75">
        <v>237092.4</v>
      </c>
      <c r="J367" s="152">
        <v>0</v>
      </c>
      <c r="K367" s="75">
        <v>0</v>
      </c>
      <c r="L367" s="75">
        <v>4375216.8099999996</v>
      </c>
      <c r="M367" s="75">
        <v>0</v>
      </c>
      <c r="N367" s="75">
        <v>0</v>
      </c>
      <c r="O367" s="75">
        <v>0</v>
      </c>
      <c r="P367" s="75">
        <v>0</v>
      </c>
      <c r="Q367" s="75">
        <v>0</v>
      </c>
      <c r="R367" s="75">
        <v>0</v>
      </c>
      <c r="S367" s="75">
        <v>0</v>
      </c>
      <c r="T367" s="75">
        <v>0</v>
      </c>
      <c r="U367" s="253"/>
      <c r="V367" s="253"/>
    </row>
    <row r="368" spans="1:39" s="186" customFormat="1" ht="22.5" customHeight="1" x14ac:dyDescent="0.25">
      <c r="A368" s="25">
        <v>8</v>
      </c>
      <c r="B368" s="38" t="s">
        <v>473</v>
      </c>
      <c r="C368" s="75">
        <f t="shared" si="59"/>
        <v>778401.84</v>
      </c>
      <c r="D368" s="75">
        <f t="shared" si="60"/>
        <v>778401.84</v>
      </c>
      <c r="E368" s="75">
        <v>778401.84</v>
      </c>
      <c r="F368" s="75">
        <v>0</v>
      </c>
      <c r="G368" s="75">
        <v>0</v>
      </c>
      <c r="H368" s="75">
        <v>0</v>
      </c>
      <c r="I368" s="75">
        <v>0</v>
      </c>
      <c r="J368" s="152">
        <v>0</v>
      </c>
      <c r="K368" s="75">
        <v>0</v>
      </c>
      <c r="L368" s="75">
        <v>0</v>
      </c>
      <c r="M368" s="75">
        <v>0</v>
      </c>
      <c r="N368" s="75">
        <v>0</v>
      </c>
      <c r="O368" s="75">
        <v>0</v>
      </c>
      <c r="P368" s="87">
        <v>0</v>
      </c>
      <c r="Q368" s="75">
        <v>0</v>
      </c>
      <c r="R368" s="75">
        <v>0</v>
      </c>
      <c r="S368" s="75">
        <v>0</v>
      </c>
      <c r="T368" s="75">
        <v>0</v>
      </c>
      <c r="U368" s="253"/>
      <c r="V368" s="253"/>
    </row>
    <row r="369" spans="1:35" s="186" customFormat="1" ht="22.5" customHeight="1" x14ac:dyDescent="0.25">
      <c r="A369" s="25">
        <v>9</v>
      </c>
      <c r="B369" s="38" t="s">
        <v>474</v>
      </c>
      <c r="C369" s="75">
        <f t="shared" si="59"/>
        <v>738401.84</v>
      </c>
      <c r="D369" s="75">
        <f t="shared" si="60"/>
        <v>738401.84</v>
      </c>
      <c r="E369" s="75">
        <v>738401.84</v>
      </c>
      <c r="F369" s="75">
        <v>0</v>
      </c>
      <c r="G369" s="75">
        <v>0</v>
      </c>
      <c r="H369" s="75">
        <v>0</v>
      </c>
      <c r="I369" s="75">
        <v>0</v>
      </c>
      <c r="J369" s="152">
        <v>0</v>
      </c>
      <c r="K369" s="75">
        <v>0</v>
      </c>
      <c r="L369" s="75">
        <v>0</v>
      </c>
      <c r="M369" s="75">
        <v>0</v>
      </c>
      <c r="N369" s="75">
        <v>0</v>
      </c>
      <c r="O369" s="75">
        <v>0</v>
      </c>
      <c r="P369" s="87">
        <v>0</v>
      </c>
      <c r="Q369" s="75">
        <v>0</v>
      </c>
      <c r="R369" s="75">
        <v>0</v>
      </c>
      <c r="S369" s="75">
        <v>0</v>
      </c>
      <c r="T369" s="75">
        <v>0</v>
      </c>
      <c r="U369" s="253"/>
      <c r="V369" s="253"/>
    </row>
    <row r="370" spans="1:35" s="186" customFormat="1" ht="21.75" customHeight="1" x14ac:dyDescent="0.25">
      <c r="A370" s="322" t="s">
        <v>475</v>
      </c>
      <c r="B370" s="322"/>
      <c r="C370" s="118">
        <f t="shared" ref="C370:T370" si="61">SUM(C371:C375)</f>
        <v>5138679.28</v>
      </c>
      <c r="D370" s="118">
        <f t="shared" si="61"/>
        <v>4994894.08</v>
      </c>
      <c r="E370" s="118">
        <f t="shared" si="61"/>
        <v>3298796.4299999997</v>
      </c>
      <c r="F370" s="118">
        <f t="shared" si="61"/>
        <v>0</v>
      </c>
      <c r="G370" s="118">
        <f t="shared" si="61"/>
        <v>0</v>
      </c>
      <c r="H370" s="118">
        <f t="shared" si="61"/>
        <v>553955.02</v>
      </c>
      <c r="I370" s="118">
        <f t="shared" si="61"/>
        <v>1142142.6299999999</v>
      </c>
      <c r="J370" s="119">
        <f t="shared" si="61"/>
        <v>0</v>
      </c>
      <c r="K370" s="118">
        <f t="shared" si="61"/>
        <v>0</v>
      </c>
      <c r="L370" s="118">
        <f t="shared" si="61"/>
        <v>0</v>
      </c>
      <c r="M370" s="118">
        <f t="shared" si="61"/>
        <v>0</v>
      </c>
      <c r="N370" s="118">
        <f t="shared" si="61"/>
        <v>0</v>
      </c>
      <c r="O370" s="118">
        <f t="shared" si="61"/>
        <v>0</v>
      </c>
      <c r="P370" s="118">
        <f t="shared" si="61"/>
        <v>143785.20000000001</v>
      </c>
      <c r="Q370" s="118">
        <f t="shared" si="61"/>
        <v>0</v>
      </c>
      <c r="R370" s="118">
        <f t="shared" si="61"/>
        <v>0</v>
      </c>
      <c r="S370" s="118">
        <f t="shared" si="61"/>
        <v>0</v>
      </c>
      <c r="T370" s="118">
        <f t="shared" si="61"/>
        <v>0</v>
      </c>
      <c r="U370" s="238"/>
      <c r="V370" s="238"/>
    </row>
    <row r="371" spans="1:35" s="186" customFormat="1" ht="22.5" customHeight="1" x14ac:dyDescent="0.25">
      <c r="A371" s="25">
        <v>1</v>
      </c>
      <c r="B371" s="26" t="s">
        <v>476</v>
      </c>
      <c r="C371" s="75">
        <f t="shared" ref="C371:C375" si="62">D371+K371+L371+M371+N371+O371+P371+Q371+R371+S371+T371</f>
        <v>1938929.04</v>
      </c>
      <c r="D371" s="75">
        <f t="shared" ref="D371:D375" si="63">SUM(E371:I371)</f>
        <v>1938929.04</v>
      </c>
      <c r="E371" s="75">
        <v>1938929.04</v>
      </c>
      <c r="F371" s="75">
        <v>0</v>
      </c>
      <c r="G371" s="75">
        <v>0</v>
      </c>
      <c r="H371" s="87">
        <v>0</v>
      </c>
      <c r="I371" s="87">
        <v>0</v>
      </c>
      <c r="J371" s="152">
        <v>0</v>
      </c>
      <c r="K371" s="75">
        <v>0</v>
      </c>
      <c r="L371" s="87">
        <v>0</v>
      </c>
      <c r="M371" s="75">
        <v>0</v>
      </c>
      <c r="N371" s="87">
        <v>0</v>
      </c>
      <c r="O371" s="75">
        <v>0</v>
      </c>
      <c r="P371" s="87">
        <v>0</v>
      </c>
      <c r="Q371" s="75">
        <v>0</v>
      </c>
      <c r="R371" s="75">
        <v>0</v>
      </c>
      <c r="S371" s="75">
        <v>0</v>
      </c>
      <c r="T371" s="75">
        <v>0</v>
      </c>
      <c r="U371" s="243"/>
      <c r="V371" s="243"/>
    </row>
    <row r="372" spans="1:35" s="186" customFormat="1" ht="22.5" customHeight="1" x14ac:dyDescent="0.25">
      <c r="A372" s="25">
        <v>2</v>
      </c>
      <c r="B372" s="37" t="s">
        <v>478</v>
      </c>
      <c r="C372" s="75">
        <f t="shared" si="62"/>
        <v>830748.85</v>
      </c>
      <c r="D372" s="75">
        <f t="shared" si="63"/>
        <v>830748.85</v>
      </c>
      <c r="E372" s="87">
        <v>0</v>
      </c>
      <c r="F372" s="87">
        <v>0</v>
      </c>
      <c r="G372" s="87">
        <v>0</v>
      </c>
      <c r="H372" s="87">
        <v>256560.22</v>
      </c>
      <c r="I372" s="87">
        <v>574188.63</v>
      </c>
      <c r="J372" s="240">
        <v>0</v>
      </c>
      <c r="K372" s="75">
        <v>0</v>
      </c>
      <c r="L372" s="75">
        <v>0</v>
      </c>
      <c r="M372" s="75">
        <v>0</v>
      </c>
      <c r="N372" s="75">
        <v>0</v>
      </c>
      <c r="O372" s="75">
        <v>0</v>
      </c>
      <c r="P372" s="87">
        <v>0</v>
      </c>
      <c r="Q372" s="75">
        <v>0</v>
      </c>
      <c r="R372" s="75">
        <v>0</v>
      </c>
      <c r="S372" s="75">
        <v>0</v>
      </c>
      <c r="T372" s="75">
        <v>0</v>
      </c>
      <c r="U372" s="243"/>
      <c r="V372" s="243"/>
      <c r="W372" s="40"/>
      <c r="X372" s="40"/>
      <c r="Y372" s="40"/>
      <c r="Z372" s="40"/>
      <c r="AA372" s="40"/>
      <c r="AB372" s="40"/>
      <c r="AC372" s="40"/>
      <c r="AD372" s="40"/>
      <c r="AE372" s="40"/>
      <c r="AF372" s="40"/>
      <c r="AG372" s="40"/>
      <c r="AH372" s="40"/>
      <c r="AI372" s="40"/>
    </row>
    <row r="373" spans="1:35" s="186" customFormat="1" ht="22.5" customHeight="1" x14ac:dyDescent="0.25">
      <c r="A373" s="25">
        <v>3</v>
      </c>
      <c r="B373" s="37" t="s">
        <v>1121</v>
      </c>
      <c r="C373" s="75">
        <f t="shared" si="62"/>
        <v>865348.8</v>
      </c>
      <c r="D373" s="75">
        <f t="shared" si="63"/>
        <v>865348.8</v>
      </c>
      <c r="E373" s="75">
        <v>0</v>
      </c>
      <c r="F373" s="75">
        <v>0</v>
      </c>
      <c r="G373" s="75">
        <v>0</v>
      </c>
      <c r="H373" s="75">
        <v>297394.8</v>
      </c>
      <c r="I373" s="75">
        <v>567954</v>
      </c>
      <c r="J373" s="152">
        <v>0</v>
      </c>
      <c r="K373" s="75">
        <v>0</v>
      </c>
      <c r="L373" s="87">
        <v>0</v>
      </c>
      <c r="M373" s="75">
        <v>0</v>
      </c>
      <c r="N373" s="87">
        <v>0</v>
      </c>
      <c r="O373" s="75">
        <v>0</v>
      </c>
      <c r="P373" s="87">
        <v>0</v>
      </c>
      <c r="Q373" s="75">
        <v>0</v>
      </c>
      <c r="R373" s="75">
        <v>0</v>
      </c>
      <c r="S373" s="75">
        <v>0</v>
      </c>
      <c r="T373" s="75">
        <v>0</v>
      </c>
      <c r="U373" s="254"/>
      <c r="V373" s="254"/>
    </row>
    <row r="374" spans="1:35" s="186" customFormat="1" ht="22.5" customHeight="1" x14ac:dyDescent="0.25">
      <c r="A374" s="25">
        <v>4</v>
      </c>
      <c r="B374" s="93" t="s">
        <v>1122</v>
      </c>
      <c r="C374" s="75">
        <f t="shared" si="62"/>
        <v>143785.20000000001</v>
      </c>
      <c r="D374" s="75">
        <f t="shared" si="63"/>
        <v>0</v>
      </c>
      <c r="E374" s="87">
        <v>0</v>
      </c>
      <c r="F374" s="87">
        <v>0</v>
      </c>
      <c r="G374" s="75">
        <v>0</v>
      </c>
      <c r="H374" s="87">
        <v>0</v>
      </c>
      <c r="I374" s="75">
        <v>0</v>
      </c>
      <c r="J374" s="152">
        <v>0</v>
      </c>
      <c r="K374" s="75">
        <v>0</v>
      </c>
      <c r="L374" s="75">
        <v>0</v>
      </c>
      <c r="M374" s="75">
        <v>0</v>
      </c>
      <c r="N374" s="75">
        <v>0</v>
      </c>
      <c r="O374" s="75">
        <v>0</v>
      </c>
      <c r="P374" s="87">
        <v>143785.20000000001</v>
      </c>
      <c r="Q374" s="75">
        <v>0</v>
      </c>
      <c r="R374" s="75">
        <v>0</v>
      </c>
      <c r="S374" s="75">
        <v>0</v>
      </c>
      <c r="T374" s="75">
        <v>0</v>
      </c>
      <c r="U374" s="254"/>
      <c r="V374" s="254"/>
    </row>
    <row r="375" spans="1:35" s="186" customFormat="1" ht="22.5" customHeight="1" x14ac:dyDescent="0.25">
      <c r="A375" s="25">
        <v>5</v>
      </c>
      <c r="B375" s="37" t="s">
        <v>481</v>
      </c>
      <c r="C375" s="75">
        <f t="shared" si="62"/>
        <v>1359867.39</v>
      </c>
      <c r="D375" s="75">
        <f t="shared" si="63"/>
        <v>1359867.39</v>
      </c>
      <c r="E375" s="87">
        <v>1359867.39</v>
      </c>
      <c r="F375" s="75">
        <v>0</v>
      </c>
      <c r="G375" s="75">
        <v>0</v>
      </c>
      <c r="H375" s="87">
        <v>0</v>
      </c>
      <c r="I375" s="75">
        <v>0</v>
      </c>
      <c r="J375" s="152">
        <v>0</v>
      </c>
      <c r="K375" s="75">
        <v>0</v>
      </c>
      <c r="L375" s="75">
        <v>0</v>
      </c>
      <c r="M375" s="75">
        <v>0</v>
      </c>
      <c r="N375" s="75">
        <v>0</v>
      </c>
      <c r="O375" s="75">
        <v>0</v>
      </c>
      <c r="P375" s="75">
        <v>0</v>
      </c>
      <c r="Q375" s="75">
        <v>0</v>
      </c>
      <c r="R375" s="42">
        <v>0</v>
      </c>
      <c r="S375" s="75">
        <v>0</v>
      </c>
      <c r="T375" s="75">
        <v>0</v>
      </c>
      <c r="U375" s="264"/>
      <c r="V375" s="264"/>
      <c r="W375" s="40"/>
      <c r="X375" s="40"/>
      <c r="Y375" s="40"/>
      <c r="Z375" s="40"/>
      <c r="AA375" s="40"/>
      <c r="AB375" s="40"/>
      <c r="AC375" s="40"/>
      <c r="AD375" s="40"/>
      <c r="AE375" s="40"/>
      <c r="AF375" s="40"/>
      <c r="AG375" s="40"/>
      <c r="AH375" s="40"/>
      <c r="AI375" s="40"/>
    </row>
    <row r="376" spans="1:35" s="186" customFormat="1" ht="22.5" customHeight="1" x14ac:dyDescent="0.25">
      <c r="A376" s="322" t="s">
        <v>482</v>
      </c>
      <c r="B376" s="322"/>
      <c r="C376" s="118">
        <f t="shared" ref="C376:T376" si="64">SUM(C377:C378)</f>
        <v>1845810.1700000002</v>
      </c>
      <c r="D376" s="118">
        <f t="shared" si="64"/>
        <v>1589399.9300000002</v>
      </c>
      <c r="E376" s="118">
        <f t="shared" si="64"/>
        <v>501439.2</v>
      </c>
      <c r="F376" s="118">
        <f t="shared" si="64"/>
        <v>0</v>
      </c>
      <c r="G376" s="118">
        <f t="shared" si="64"/>
        <v>0</v>
      </c>
      <c r="H376" s="118">
        <f t="shared" si="64"/>
        <v>348349.19</v>
      </c>
      <c r="I376" s="118">
        <f t="shared" si="64"/>
        <v>739611.54</v>
      </c>
      <c r="J376" s="119">
        <f t="shared" si="64"/>
        <v>0</v>
      </c>
      <c r="K376" s="118">
        <f t="shared" si="64"/>
        <v>0</v>
      </c>
      <c r="L376" s="118">
        <f t="shared" si="64"/>
        <v>0</v>
      </c>
      <c r="M376" s="118">
        <f t="shared" si="64"/>
        <v>0</v>
      </c>
      <c r="N376" s="118">
        <f t="shared" si="64"/>
        <v>0</v>
      </c>
      <c r="O376" s="118">
        <f t="shared" si="64"/>
        <v>0</v>
      </c>
      <c r="P376" s="118">
        <f t="shared" si="64"/>
        <v>256410.23999999999</v>
      </c>
      <c r="Q376" s="118">
        <f t="shared" si="64"/>
        <v>0</v>
      </c>
      <c r="R376" s="118">
        <f t="shared" si="64"/>
        <v>0</v>
      </c>
      <c r="S376" s="118">
        <f t="shared" si="64"/>
        <v>0</v>
      </c>
      <c r="T376" s="118">
        <f t="shared" si="64"/>
        <v>0</v>
      </c>
      <c r="U376" s="238"/>
      <c r="V376" s="238"/>
    </row>
    <row r="377" spans="1:35" s="186" customFormat="1" ht="22.5" customHeight="1" x14ac:dyDescent="0.25">
      <c r="A377" s="25">
        <v>1</v>
      </c>
      <c r="B377" s="37" t="s">
        <v>1123</v>
      </c>
      <c r="C377" s="75">
        <f t="shared" ref="C377:C378" si="65">D377+K377+L377+M377+N377+O377+P377+Q377+R377+S377+T377</f>
        <v>256410.23999999999</v>
      </c>
      <c r="D377" s="75">
        <f t="shared" ref="D377:D378" si="66">SUM(E377:I377)</f>
        <v>0</v>
      </c>
      <c r="E377" s="75">
        <v>0</v>
      </c>
      <c r="F377" s="75">
        <v>0</v>
      </c>
      <c r="G377" s="75">
        <v>0</v>
      </c>
      <c r="H377" s="75">
        <v>0</v>
      </c>
      <c r="I377" s="75">
        <v>0</v>
      </c>
      <c r="J377" s="152">
        <v>0</v>
      </c>
      <c r="K377" s="75">
        <v>0</v>
      </c>
      <c r="L377" s="87">
        <v>0</v>
      </c>
      <c r="M377" s="75">
        <v>0</v>
      </c>
      <c r="N377" s="87">
        <v>0</v>
      </c>
      <c r="O377" s="75">
        <v>0</v>
      </c>
      <c r="P377" s="87">
        <v>256410.23999999999</v>
      </c>
      <c r="Q377" s="75">
        <v>0</v>
      </c>
      <c r="R377" s="75">
        <v>0</v>
      </c>
      <c r="S377" s="75">
        <v>0</v>
      </c>
      <c r="T377" s="75">
        <v>0</v>
      </c>
      <c r="U377" s="243"/>
      <c r="V377" s="243"/>
    </row>
    <row r="378" spans="1:35" s="186" customFormat="1" ht="22.5" customHeight="1" x14ac:dyDescent="0.25">
      <c r="A378" s="25">
        <v>2</v>
      </c>
      <c r="B378" s="37" t="s">
        <v>484</v>
      </c>
      <c r="C378" s="75">
        <f t="shared" si="65"/>
        <v>1589399.9300000002</v>
      </c>
      <c r="D378" s="75">
        <f t="shared" si="66"/>
        <v>1589399.9300000002</v>
      </c>
      <c r="E378" s="75">
        <v>501439.2</v>
      </c>
      <c r="F378" s="75">
        <v>0</v>
      </c>
      <c r="G378" s="75">
        <v>0</v>
      </c>
      <c r="H378" s="75">
        <v>348349.19</v>
      </c>
      <c r="I378" s="75">
        <v>739611.54</v>
      </c>
      <c r="J378" s="152">
        <v>0</v>
      </c>
      <c r="K378" s="75">
        <v>0</v>
      </c>
      <c r="L378" s="87">
        <v>0</v>
      </c>
      <c r="M378" s="75">
        <v>0</v>
      </c>
      <c r="N378" s="87">
        <v>0</v>
      </c>
      <c r="O378" s="75">
        <v>0</v>
      </c>
      <c r="P378" s="87">
        <v>0</v>
      </c>
      <c r="Q378" s="75">
        <v>0</v>
      </c>
      <c r="R378" s="75">
        <v>0</v>
      </c>
      <c r="S378" s="75">
        <v>0</v>
      </c>
      <c r="T378" s="75">
        <v>0</v>
      </c>
      <c r="U378" s="243"/>
      <c r="V378" s="243"/>
    </row>
    <row r="379" spans="1:35" s="186" customFormat="1" ht="22.5" customHeight="1" x14ac:dyDescent="0.25">
      <c r="A379" s="326" t="s">
        <v>485</v>
      </c>
      <c r="B379" s="326"/>
      <c r="C379" s="118">
        <f t="shared" ref="C379:T379" si="67">SUM(C380:C384)</f>
        <v>7888827.0300000003</v>
      </c>
      <c r="D379" s="118">
        <f t="shared" si="67"/>
        <v>7482098.1500000004</v>
      </c>
      <c r="E379" s="118">
        <f t="shared" si="67"/>
        <v>1346160</v>
      </c>
      <c r="F379" s="118">
        <f t="shared" si="67"/>
        <v>4167634.59</v>
      </c>
      <c r="G379" s="118">
        <f t="shared" si="67"/>
        <v>389342.4</v>
      </c>
      <c r="H379" s="118">
        <f t="shared" si="67"/>
        <v>1086285.56</v>
      </c>
      <c r="I379" s="118">
        <f t="shared" si="67"/>
        <v>492675.6</v>
      </c>
      <c r="J379" s="119">
        <f t="shared" si="67"/>
        <v>0</v>
      </c>
      <c r="K379" s="118">
        <f t="shared" si="67"/>
        <v>0</v>
      </c>
      <c r="L379" s="118">
        <f t="shared" si="67"/>
        <v>0</v>
      </c>
      <c r="M379" s="118">
        <f t="shared" si="67"/>
        <v>0</v>
      </c>
      <c r="N379" s="118">
        <f t="shared" si="67"/>
        <v>0</v>
      </c>
      <c r="O379" s="118">
        <f t="shared" si="67"/>
        <v>0</v>
      </c>
      <c r="P379" s="118">
        <f t="shared" si="67"/>
        <v>406728.88</v>
      </c>
      <c r="Q379" s="118">
        <f t="shared" si="67"/>
        <v>0</v>
      </c>
      <c r="R379" s="118">
        <f t="shared" si="67"/>
        <v>0</v>
      </c>
      <c r="S379" s="118">
        <f t="shared" si="67"/>
        <v>0</v>
      </c>
      <c r="T379" s="118">
        <f t="shared" si="67"/>
        <v>0</v>
      </c>
      <c r="U379" s="238"/>
      <c r="V379" s="238"/>
    </row>
    <row r="380" spans="1:35" s="186" customFormat="1" ht="22.5" customHeight="1" x14ac:dyDescent="0.25">
      <c r="A380" s="25">
        <v>1</v>
      </c>
      <c r="B380" s="37" t="s">
        <v>1124</v>
      </c>
      <c r="C380" s="75">
        <f t="shared" ref="C380:C384" si="68">D380+K380+L380+M380+N380+O380+P380+Q380+R380+S380+T380</f>
        <v>6802541.4699999997</v>
      </c>
      <c r="D380" s="75">
        <f t="shared" ref="D380:D384" si="69">SUM(E380:I380)</f>
        <v>6395812.5899999999</v>
      </c>
      <c r="E380" s="87">
        <v>1346160</v>
      </c>
      <c r="F380" s="75">
        <v>4167634.59</v>
      </c>
      <c r="G380" s="75">
        <v>389342.4</v>
      </c>
      <c r="H380" s="75">
        <v>0</v>
      </c>
      <c r="I380" s="87">
        <v>492675.6</v>
      </c>
      <c r="J380" s="152">
        <v>0</v>
      </c>
      <c r="K380" s="75">
        <v>0</v>
      </c>
      <c r="L380" s="87">
        <v>0</v>
      </c>
      <c r="M380" s="75">
        <v>0</v>
      </c>
      <c r="N380" s="87">
        <v>0</v>
      </c>
      <c r="O380" s="75">
        <v>0</v>
      </c>
      <c r="P380" s="87">
        <f>148109.42+258619.46</f>
        <v>406728.88</v>
      </c>
      <c r="Q380" s="75">
        <v>0</v>
      </c>
      <c r="R380" s="75">
        <v>0</v>
      </c>
      <c r="S380" s="75">
        <v>0</v>
      </c>
      <c r="T380" s="75">
        <v>0</v>
      </c>
      <c r="U380" s="243"/>
      <c r="V380" s="243"/>
    </row>
    <row r="381" spans="1:35" s="186" customFormat="1" ht="22.5" customHeight="1" x14ac:dyDescent="0.25">
      <c r="A381" s="25">
        <v>2</v>
      </c>
      <c r="B381" s="37" t="s">
        <v>487</v>
      </c>
      <c r="C381" s="75">
        <f t="shared" si="68"/>
        <v>358384.54</v>
      </c>
      <c r="D381" s="75">
        <f t="shared" si="69"/>
        <v>358384.54</v>
      </c>
      <c r="E381" s="75">
        <v>0</v>
      </c>
      <c r="F381" s="87">
        <v>0</v>
      </c>
      <c r="G381" s="87">
        <v>0</v>
      </c>
      <c r="H381" s="75">
        <v>358384.54</v>
      </c>
      <c r="I381" s="87">
        <v>0</v>
      </c>
      <c r="J381" s="152">
        <v>0</v>
      </c>
      <c r="K381" s="75">
        <v>0</v>
      </c>
      <c r="L381" s="87">
        <v>0</v>
      </c>
      <c r="M381" s="75">
        <v>0</v>
      </c>
      <c r="N381" s="75">
        <v>0</v>
      </c>
      <c r="O381" s="75">
        <v>0</v>
      </c>
      <c r="P381" s="87">
        <v>0</v>
      </c>
      <c r="Q381" s="75">
        <v>0</v>
      </c>
      <c r="R381" s="42">
        <v>0</v>
      </c>
      <c r="S381" s="75">
        <v>0</v>
      </c>
      <c r="T381" s="75">
        <v>0</v>
      </c>
      <c r="U381" s="253"/>
      <c r="V381" s="253"/>
      <c r="W381" s="40"/>
      <c r="X381" s="40"/>
      <c r="Y381" s="40"/>
      <c r="Z381" s="40"/>
      <c r="AA381" s="40"/>
      <c r="AB381" s="40"/>
      <c r="AC381" s="40"/>
      <c r="AD381" s="40"/>
      <c r="AE381" s="40"/>
      <c r="AF381" s="40"/>
      <c r="AG381" s="40"/>
      <c r="AH381" s="40"/>
      <c r="AI381" s="40"/>
    </row>
    <row r="382" spans="1:35" s="186" customFormat="1" ht="22.5" customHeight="1" x14ac:dyDescent="0.25">
      <c r="A382" s="25">
        <v>3</v>
      </c>
      <c r="B382" s="37" t="s">
        <v>488</v>
      </c>
      <c r="C382" s="75">
        <f t="shared" si="68"/>
        <v>208075.54</v>
      </c>
      <c r="D382" s="75">
        <f t="shared" si="69"/>
        <v>208075.54</v>
      </c>
      <c r="E382" s="75">
        <v>0</v>
      </c>
      <c r="F382" s="75">
        <v>0</v>
      </c>
      <c r="G382" s="75">
        <v>0</v>
      </c>
      <c r="H382" s="87">
        <v>208075.54</v>
      </c>
      <c r="I382" s="75">
        <v>0</v>
      </c>
      <c r="J382" s="152">
        <v>0</v>
      </c>
      <c r="K382" s="75">
        <v>0</v>
      </c>
      <c r="L382" s="75">
        <v>0</v>
      </c>
      <c r="M382" s="75">
        <v>0</v>
      </c>
      <c r="N382" s="75">
        <v>0</v>
      </c>
      <c r="O382" s="75">
        <v>0</v>
      </c>
      <c r="P382" s="87">
        <v>0</v>
      </c>
      <c r="Q382" s="75">
        <v>0</v>
      </c>
      <c r="R382" s="42">
        <v>0</v>
      </c>
      <c r="S382" s="75">
        <v>0</v>
      </c>
      <c r="T382" s="75">
        <v>0</v>
      </c>
      <c r="U382" s="254"/>
      <c r="V382" s="254"/>
      <c r="W382" s="40"/>
      <c r="X382" s="40"/>
      <c r="Y382" s="40"/>
      <c r="Z382" s="40"/>
      <c r="AA382" s="40"/>
      <c r="AB382" s="40"/>
      <c r="AC382" s="40"/>
      <c r="AD382" s="40"/>
      <c r="AE382" s="40"/>
      <c r="AF382" s="40"/>
      <c r="AG382" s="40"/>
      <c r="AH382" s="40"/>
      <c r="AI382" s="40"/>
    </row>
    <row r="383" spans="1:35" s="186" customFormat="1" ht="22.5" customHeight="1" x14ac:dyDescent="0.25">
      <c r="A383" s="25">
        <v>4</v>
      </c>
      <c r="B383" s="37" t="s">
        <v>489</v>
      </c>
      <c r="C383" s="75">
        <f t="shared" si="68"/>
        <v>259912.74</v>
      </c>
      <c r="D383" s="75">
        <f t="shared" si="69"/>
        <v>259912.74</v>
      </c>
      <c r="E383" s="75">
        <v>0</v>
      </c>
      <c r="F383" s="75">
        <v>0</v>
      </c>
      <c r="G383" s="75">
        <v>0</v>
      </c>
      <c r="H383" s="87">
        <v>259912.74</v>
      </c>
      <c r="I383" s="75">
        <v>0</v>
      </c>
      <c r="J383" s="152">
        <v>0</v>
      </c>
      <c r="K383" s="75">
        <v>0</v>
      </c>
      <c r="L383" s="75">
        <v>0</v>
      </c>
      <c r="M383" s="75">
        <v>0</v>
      </c>
      <c r="N383" s="75">
        <v>0</v>
      </c>
      <c r="O383" s="75">
        <v>0</v>
      </c>
      <c r="P383" s="75">
        <v>0</v>
      </c>
      <c r="Q383" s="75">
        <v>0</v>
      </c>
      <c r="R383" s="75">
        <v>0</v>
      </c>
      <c r="S383" s="75">
        <v>0</v>
      </c>
      <c r="T383" s="75">
        <v>0</v>
      </c>
      <c r="U383" s="254"/>
      <c r="V383" s="254"/>
      <c r="W383" s="40"/>
      <c r="X383" s="40"/>
      <c r="Y383" s="40"/>
      <c r="Z383" s="40"/>
      <c r="AA383" s="40"/>
      <c r="AB383" s="40"/>
      <c r="AC383" s="40"/>
      <c r="AD383" s="40"/>
      <c r="AE383" s="40"/>
      <c r="AF383" s="40"/>
      <c r="AG383" s="40"/>
      <c r="AH383" s="40"/>
      <c r="AI383" s="40"/>
    </row>
    <row r="384" spans="1:35" s="186" customFormat="1" ht="22.5" customHeight="1" x14ac:dyDescent="0.25">
      <c r="A384" s="25">
        <v>5</v>
      </c>
      <c r="B384" s="37" t="s">
        <v>490</v>
      </c>
      <c r="C384" s="75">
        <f t="shared" si="68"/>
        <v>259912.74</v>
      </c>
      <c r="D384" s="75">
        <f t="shared" si="69"/>
        <v>259912.74</v>
      </c>
      <c r="E384" s="75">
        <v>0</v>
      </c>
      <c r="F384" s="75">
        <v>0</v>
      </c>
      <c r="G384" s="75">
        <v>0</v>
      </c>
      <c r="H384" s="87">
        <v>259912.74</v>
      </c>
      <c r="I384" s="75">
        <v>0</v>
      </c>
      <c r="J384" s="152">
        <v>0</v>
      </c>
      <c r="K384" s="75">
        <v>0</v>
      </c>
      <c r="L384" s="75">
        <v>0</v>
      </c>
      <c r="M384" s="75">
        <v>0</v>
      </c>
      <c r="N384" s="75">
        <v>0</v>
      </c>
      <c r="O384" s="75">
        <v>0</v>
      </c>
      <c r="P384" s="75">
        <v>0</v>
      </c>
      <c r="Q384" s="75">
        <v>0</v>
      </c>
      <c r="R384" s="75">
        <v>0</v>
      </c>
      <c r="S384" s="75">
        <v>0</v>
      </c>
      <c r="T384" s="75">
        <v>0</v>
      </c>
      <c r="U384" s="254"/>
      <c r="V384" s="254"/>
      <c r="W384" s="40"/>
      <c r="X384" s="40"/>
      <c r="Y384" s="40"/>
      <c r="Z384" s="40"/>
      <c r="AA384" s="40"/>
      <c r="AB384" s="40"/>
      <c r="AC384" s="40"/>
      <c r="AD384" s="40"/>
      <c r="AE384" s="40"/>
      <c r="AF384" s="40"/>
      <c r="AG384" s="40"/>
      <c r="AH384" s="40"/>
      <c r="AI384" s="40"/>
    </row>
    <row r="385" spans="1:23" s="186" customFormat="1" ht="22.5" customHeight="1" x14ac:dyDescent="0.25">
      <c r="A385" s="326" t="s">
        <v>491</v>
      </c>
      <c r="B385" s="326"/>
      <c r="C385" s="118">
        <f t="shared" ref="C385:T385" si="70">SUM(C386:C391)</f>
        <v>6915654.7000000002</v>
      </c>
      <c r="D385" s="118">
        <f t="shared" si="70"/>
        <v>4531672.8100000005</v>
      </c>
      <c r="E385" s="118">
        <f t="shared" si="70"/>
        <v>1871107.2000000002</v>
      </c>
      <c r="F385" s="118">
        <f t="shared" si="70"/>
        <v>0</v>
      </c>
      <c r="G385" s="118">
        <f t="shared" si="70"/>
        <v>574928.4</v>
      </c>
      <c r="H385" s="118">
        <f t="shared" si="70"/>
        <v>966734.40999999992</v>
      </c>
      <c r="I385" s="118">
        <f t="shared" si="70"/>
        <v>1118902.8</v>
      </c>
      <c r="J385" s="119">
        <f t="shared" si="70"/>
        <v>0</v>
      </c>
      <c r="K385" s="118">
        <f t="shared" si="70"/>
        <v>0</v>
      </c>
      <c r="L385" s="118">
        <f t="shared" si="70"/>
        <v>2238381.09</v>
      </c>
      <c r="M385" s="118">
        <f t="shared" si="70"/>
        <v>0</v>
      </c>
      <c r="N385" s="118">
        <f t="shared" si="70"/>
        <v>0</v>
      </c>
      <c r="O385" s="118">
        <f t="shared" si="70"/>
        <v>0</v>
      </c>
      <c r="P385" s="118">
        <f t="shared" si="70"/>
        <v>145600.79999999999</v>
      </c>
      <c r="Q385" s="118">
        <f t="shared" si="70"/>
        <v>0</v>
      </c>
      <c r="R385" s="118">
        <f t="shared" si="70"/>
        <v>0</v>
      </c>
      <c r="S385" s="118">
        <f t="shared" si="70"/>
        <v>0</v>
      </c>
      <c r="T385" s="118">
        <f t="shared" si="70"/>
        <v>0</v>
      </c>
      <c r="U385" s="252"/>
      <c r="V385" s="252"/>
    </row>
    <row r="386" spans="1:23" s="186" customFormat="1" ht="22.5" customHeight="1" x14ac:dyDescent="0.25">
      <c r="A386" s="25">
        <v>1</v>
      </c>
      <c r="B386" s="37" t="s">
        <v>492</v>
      </c>
      <c r="C386" s="75">
        <f t="shared" ref="C386:C391" si="71">D386+K386+L386+M386+N386+O386+P386+Q386+R386+S386+T386</f>
        <v>298930.8</v>
      </c>
      <c r="D386" s="75">
        <f t="shared" ref="D386:D391" si="72">SUM(E386:I386)</f>
        <v>298930.8</v>
      </c>
      <c r="E386" s="75">
        <v>0</v>
      </c>
      <c r="F386" s="75">
        <v>0</v>
      </c>
      <c r="G386" s="75">
        <v>0</v>
      </c>
      <c r="H386" s="75">
        <v>298930.8</v>
      </c>
      <c r="I386" s="75">
        <v>0</v>
      </c>
      <c r="J386" s="152">
        <v>0</v>
      </c>
      <c r="K386" s="75">
        <v>0</v>
      </c>
      <c r="L386" s="87">
        <v>0</v>
      </c>
      <c r="M386" s="75">
        <v>0</v>
      </c>
      <c r="N386" s="87">
        <v>0</v>
      </c>
      <c r="O386" s="75">
        <v>0</v>
      </c>
      <c r="P386" s="87">
        <v>0</v>
      </c>
      <c r="Q386" s="75">
        <v>0</v>
      </c>
      <c r="R386" s="75">
        <v>0</v>
      </c>
      <c r="S386" s="75">
        <v>0</v>
      </c>
      <c r="T386" s="75">
        <v>0</v>
      </c>
      <c r="U386" s="253"/>
      <c r="V386" s="253"/>
    </row>
    <row r="387" spans="1:23" s="186" customFormat="1" ht="22.5" customHeight="1" x14ac:dyDescent="0.25">
      <c r="A387" s="25">
        <v>2</v>
      </c>
      <c r="B387" s="37" t="s">
        <v>493</v>
      </c>
      <c r="C387" s="75">
        <f t="shared" si="71"/>
        <v>862596.01</v>
      </c>
      <c r="D387" s="75">
        <f t="shared" si="72"/>
        <v>862596.01</v>
      </c>
      <c r="E387" s="75">
        <v>0</v>
      </c>
      <c r="F387" s="75">
        <v>0</v>
      </c>
      <c r="G387" s="75">
        <v>574928.4</v>
      </c>
      <c r="H387" s="75">
        <v>287667.61</v>
      </c>
      <c r="I387" s="75">
        <v>0</v>
      </c>
      <c r="J387" s="152">
        <v>0</v>
      </c>
      <c r="K387" s="75">
        <v>0</v>
      </c>
      <c r="L387" s="87">
        <v>0</v>
      </c>
      <c r="M387" s="75">
        <v>0</v>
      </c>
      <c r="N387" s="75">
        <v>0</v>
      </c>
      <c r="O387" s="75">
        <v>0</v>
      </c>
      <c r="P387" s="87">
        <v>0</v>
      </c>
      <c r="Q387" s="75">
        <v>0</v>
      </c>
      <c r="R387" s="75">
        <v>0</v>
      </c>
      <c r="S387" s="75">
        <v>0</v>
      </c>
      <c r="T387" s="75">
        <v>0</v>
      </c>
      <c r="U387" s="253"/>
      <c r="V387" s="253"/>
    </row>
    <row r="388" spans="1:23" s="186" customFormat="1" ht="22.5" customHeight="1" x14ac:dyDescent="0.25">
      <c r="A388" s="25">
        <v>3</v>
      </c>
      <c r="B388" s="37" t="s">
        <v>494</v>
      </c>
      <c r="C388" s="75">
        <f t="shared" si="71"/>
        <v>725902.8</v>
      </c>
      <c r="D388" s="75">
        <f t="shared" si="72"/>
        <v>725902.8</v>
      </c>
      <c r="E388" s="75">
        <v>567622.80000000005</v>
      </c>
      <c r="F388" s="75">
        <v>0</v>
      </c>
      <c r="G388" s="75">
        <v>0</v>
      </c>
      <c r="H388" s="75">
        <v>158280</v>
      </c>
      <c r="I388" s="75">
        <v>0</v>
      </c>
      <c r="J388" s="152">
        <v>0</v>
      </c>
      <c r="K388" s="75">
        <v>0</v>
      </c>
      <c r="L388" s="87">
        <v>0</v>
      </c>
      <c r="M388" s="75">
        <v>0</v>
      </c>
      <c r="N388" s="87">
        <v>0</v>
      </c>
      <c r="O388" s="75">
        <v>0</v>
      </c>
      <c r="P388" s="87">
        <v>0</v>
      </c>
      <c r="Q388" s="75">
        <v>0</v>
      </c>
      <c r="R388" s="75">
        <v>0</v>
      </c>
      <c r="S388" s="75">
        <v>0</v>
      </c>
      <c r="T388" s="75">
        <v>0</v>
      </c>
      <c r="U388" s="253"/>
      <c r="V388" s="253"/>
      <c r="W388" s="44"/>
    </row>
    <row r="389" spans="1:23" s="186" customFormat="1" ht="22.5" customHeight="1" x14ac:dyDescent="0.25">
      <c r="A389" s="25">
        <v>4</v>
      </c>
      <c r="B389" s="37" t="s">
        <v>1125</v>
      </c>
      <c r="C389" s="75">
        <f t="shared" si="71"/>
        <v>2717917.8899999997</v>
      </c>
      <c r="D389" s="75">
        <f t="shared" si="72"/>
        <v>333936</v>
      </c>
      <c r="E389" s="75">
        <v>0</v>
      </c>
      <c r="F389" s="75">
        <v>0</v>
      </c>
      <c r="G389" s="75">
        <v>0</v>
      </c>
      <c r="H389" s="75">
        <v>0</v>
      </c>
      <c r="I389" s="75">
        <v>333936</v>
      </c>
      <c r="J389" s="152">
        <v>0</v>
      </c>
      <c r="K389" s="75">
        <v>0</v>
      </c>
      <c r="L389" s="87">
        <v>2238381.09</v>
      </c>
      <c r="M389" s="75">
        <v>0</v>
      </c>
      <c r="N389" s="87">
        <v>0</v>
      </c>
      <c r="O389" s="75">
        <v>0</v>
      </c>
      <c r="P389" s="87">
        <v>145600.79999999999</v>
      </c>
      <c r="Q389" s="75">
        <v>0</v>
      </c>
      <c r="R389" s="75">
        <v>0</v>
      </c>
      <c r="S389" s="75">
        <v>0</v>
      </c>
      <c r="T389" s="75">
        <v>0</v>
      </c>
      <c r="U389" s="253"/>
      <c r="V389" s="253"/>
    </row>
    <row r="390" spans="1:23" s="186" customFormat="1" ht="22.5" customHeight="1" x14ac:dyDescent="0.25">
      <c r="A390" s="25">
        <v>5</v>
      </c>
      <c r="B390" s="37" t="s">
        <v>496</v>
      </c>
      <c r="C390" s="75">
        <f t="shared" si="71"/>
        <v>976898.39999999991</v>
      </c>
      <c r="D390" s="75">
        <f t="shared" si="72"/>
        <v>976898.39999999991</v>
      </c>
      <c r="E390" s="75">
        <v>477352.8</v>
      </c>
      <c r="F390" s="75">
        <v>0</v>
      </c>
      <c r="G390" s="75">
        <v>0</v>
      </c>
      <c r="H390" s="75">
        <v>0</v>
      </c>
      <c r="I390" s="75">
        <v>499545.59999999998</v>
      </c>
      <c r="J390" s="152">
        <v>0</v>
      </c>
      <c r="K390" s="75">
        <v>0</v>
      </c>
      <c r="L390" s="75">
        <v>0</v>
      </c>
      <c r="M390" s="75">
        <v>0</v>
      </c>
      <c r="N390" s="75">
        <v>0</v>
      </c>
      <c r="O390" s="75">
        <v>0</v>
      </c>
      <c r="P390" s="75">
        <v>0</v>
      </c>
      <c r="Q390" s="75">
        <v>0</v>
      </c>
      <c r="R390" s="75">
        <v>0</v>
      </c>
      <c r="S390" s="75">
        <v>0</v>
      </c>
      <c r="T390" s="75">
        <v>0</v>
      </c>
      <c r="U390" s="253"/>
      <c r="V390" s="253"/>
    </row>
    <row r="391" spans="1:23" s="186" customFormat="1" ht="22.5" customHeight="1" x14ac:dyDescent="0.25">
      <c r="A391" s="25">
        <v>6</v>
      </c>
      <c r="B391" s="37" t="s">
        <v>497</v>
      </c>
      <c r="C391" s="75">
        <f t="shared" si="71"/>
        <v>1333408.8</v>
      </c>
      <c r="D391" s="75">
        <f t="shared" si="72"/>
        <v>1333408.8</v>
      </c>
      <c r="E391" s="75">
        <v>826131.6</v>
      </c>
      <c r="F391" s="75">
        <v>0</v>
      </c>
      <c r="G391" s="75">
        <v>0</v>
      </c>
      <c r="H391" s="75">
        <v>221856</v>
      </c>
      <c r="I391" s="75">
        <v>285421.2</v>
      </c>
      <c r="J391" s="152">
        <v>0</v>
      </c>
      <c r="K391" s="75">
        <v>0</v>
      </c>
      <c r="L391" s="87">
        <v>0</v>
      </c>
      <c r="M391" s="75">
        <v>0</v>
      </c>
      <c r="N391" s="87">
        <v>0</v>
      </c>
      <c r="O391" s="75">
        <v>0</v>
      </c>
      <c r="P391" s="87">
        <v>0</v>
      </c>
      <c r="Q391" s="75">
        <v>0</v>
      </c>
      <c r="R391" s="75">
        <v>0</v>
      </c>
      <c r="S391" s="75">
        <v>0</v>
      </c>
      <c r="T391" s="75">
        <v>0</v>
      </c>
      <c r="U391" s="253"/>
      <c r="V391" s="253"/>
    </row>
    <row r="392" spans="1:23" s="186" customFormat="1" ht="22.5" customHeight="1" x14ac:dyDescent="0.25">
      <c r="A392" s="326" t="s">
        <v>498</v>
      </c>
      <c r="B392" s="326"/>
      <c r="C392" s="118">
        <f t="shared" ref="C392:T392" si="73">SUM(C393:C396)</f>
        <v>21689586.439999998</v>
      </c>
      <c r="D392" s="118">
        <f t="shared" si="73"/>
        <v>0</v>
      </c>
      <c r="E392" s="118">
        <f t="shared" si="73"/>
        <v>0</v>
      </c>
      <c r="F392" s="118">
        <f t="shared" si="73"/>
        <v>0</v>
      </c>
      <c r="G392" s="118">
        <f t="shared" si="73"/>
        <v>0</v>
      </c>
      <c r="H392" s="118">
        <f t="shared" si="73"/>
        <v>0</v>
      </c>
      <c r="I392" s="118">
        <f t="shared" si="73"/>
        <v>0</v>
      </c>
      <c r="J392" s="119">
        <f t="shared" si="73"/>
        <v>0</v>
      </c>
      <c r="K392" s="118">
        <f t="shared" si="73"/>
        <v>0</v>
      </c>
      <c r="L392" s="118">
        <f t="shared" si="73"/>
        <v>21488783.099999998</v>
      </c>
      <c r="M392" s="118">
        <f t="shared" si="73"/>
        <v>0</v>
      </c>
      <c r="N392" s="118">
        <f t="shared" si="73"/>
        <v>0</v>
      </c>
      <c r="O392" s="118">
        <f t="shared" si="73"/>
        <v>0</v>
      </c>
      <c r="P392" s="118">
        <f t="shared" si="73"/>
        <v>200803.34</v>
      </c>
      <c r="Q392" s="118">
        <f t="shared" si="73"/>
        <v>0</v>
      </c>
      <c r="R392" s="118">
        <f t="shared" si="73"/>
        <v>0</v>
      </c>
      <c r="S392" s="118">
        <f t="shared" si="73"/>
        <v>0</v>
      </c>
      <c r="T392" s="118">
        <f t="shared" si="73"/>
        <v>0</v>
      </c>
      <c r="U392" s="265"/>
      <c r="V392" s="265"/>
    </row>
    <row r="393" spans="1:23" s="186" customFormat="1" ht="22.5" customHeight="1" x14ac:dyDescent="0.25">
      <c r="A393" s="25">
        <v>1</v>
      </c>
      <c r="B393" s="37" t="s">
        <v>1126</v>
      </c>
      <c r="C393" s="75">
        <f t="shared" ref="C393:C396" si="74">D393+K393+L393+M393+N393+O393+P393+Q393+R393+S393+T393</f>
        <v>200803.34</v>
      </c>
      <c r="D393" s="75">
        <f t="shared" ref="D393:D396" si="75">SUM(E393:I393)</f>
        <v>0</v>
      </c>
      <c r="E393" s="75">
        <v>0</v>
      </c>
      <c r="F393" s="75">
        <v>0</v>
      </c>
      <c r="G393" s="75">
        <v>0</v>
      </c>
      <c r="H393" s="75">
        <v>0</v>
      </c>
      <c r="I393" s="75">
        <v>0</v>
      </c>
      <c r="J393" s="152">
        <v>0</v>
      </c>
      <c r="K393" s="75">
        <v>0</v>
      </c>
      <c r="L393" s="75">
        <v>0</v>
      </c>
      <c r="M393" s="75">
        <v>0</v>
      </c>
      <c r="N393" s="75">
        <v>0</v>
      </c>
      <c r="O393" s="75">
        <v>0</v>
      </c>
      <c r="P393" s="75">
        <v>200803.34</v>
      </c>
      <c r="Q393" s="75">
        <v>0</v>
      </c>
      <c r="R393" s="75">
        <v>0</v>
      </c>
      <c r="S393" s="75">
        <v>0</v>
      </c>
      <c r="T393" s="75">
        <v>0</v>
      </c>
      <c r="U393" s="264"/>
      <c r="V393" s="264"/>
    </row>
    <row r="394" spans="1:23" s="186" customFormat="1" ht="22.5" customHeight="1" x14ac:dyDescent="0.25">
      <c r="A394" s="25">
        <v>2</v>
      </c>
      <c r="B394" s="37" t="s">
        <v>500</v>
      </c>
      <c r="C394" s="75">
        <f t="shared" si="74"/>
        <v>7224280.8099999996</v>
      </c>
      <c r="D394" s="75">
        <f t="shared" si="75"/>
        <v>0</v>
      </c>
      <c r="E394" s="75">
        <v>0</v>
      </c>
      <c r="F394" s="75">
        <v>0</v>
      </c>
      <c r="G394" s="75">
        <v>0</v>
      </c>
      <c r="H394" s="75">
        <v>0</v>
      </c>
      <c r="I394" s="75">
        <v>0</v>
      </c>
      <c r="J394" s="152">
        <v>0</v>
      </c>
      <c r="K394" s="75">
        <v>0</v>
      </c>
      <c r="L394" s="75">
        <v>7224280.8099999996</v>
      </c>
      <c r="M394" s="75">
        <v>0</v>
      </c>
      <c r="N394" s="75">
        <v>0</v>
      </c>
      <c r="O394" s="75">
        <v>0</v>
      </c>
      <c r="P394" s="75">
        <v>0</v>
      </c>
      <c r="Q394" s="75">
        <v>0</v>
      </c>
      <c r="R394" s="75">
        <v>0</v>
      </c>
      <c r="S394" s="75">
        <v>0</v>
      </c>
      <c r="T394" s="75">
        <v>0</v>
      </c>
      <c r="U394" s="254"/>
      <c r="V394" s="254"/>
    </row>
    <row r="395" spans="1:23" s="186" customFormat="1" ht="22.5" customHeight="1" x14ac:dyDescent="0.25">
      <c r="A395" s="25">
        <v>3</v>
      </c>
      <c r="B395" s="37" t="s">
        <v>501</v>
      </c>
      <c r="C395" s="75">
        <f t="shared" si="74"/>
        <v>4574639.09</v>
      </c>
      <c r="D395" s="75">
        <f t="shared" si="75"/>
        <v>0</v>
      </c>
      <c r="E395" s="75">
        <v>0</v>
      </c>
      <c r="F395" s="75">
        <v>0</v>
      </c>
      <c r="G395" s="75">
        <v>0</v>
      </c>
      <c r="H395" s="75">
        <v>0</v>
      </c>
      <c r="I395" s="75">
        <v>0</v>
      </c>
      <c r="J395" s="152">
        <v>0</v>
      </c>
      <c r="K395" s="75">
        <v>0</v>
      </c>
      <c r="L395" s="75">
        <v>4574639.09</v>
      </c>
      <c r="M395" s="75">
        <v>0</v>
      </c>
      <c r="N395" s="75">
        <v>0</v>
      </c>
      <c r="O395" s="75">
        <v>0</v>
      </c>
      <c r="P395" s="75">
        <v>0</v>
      </c>
      <c r="Q395" s="75">
        <v>0</v>
      </c>
      <c r="R395" s="75">
        <v>0</v>
      </c>
      <c r="S395" s="75">
        <v>0</v>
      </c>
      <c r="T395" s="75">
        <v>0</v>
      </c>
      <c r="U395" s="254"/>
      <c r="V395" s="254"/>
    </row>
    <row r="396" spans="1:23" s="186" customFormat="1" ht="22.5" customHeight="1" x14ac:dyDescent="0.25">
      <c r="A396" s="25">
        <v>4</v>
      </c>
      <c r="B396" s="37" t="s">
        <v>1127</v>
      </c>
      <c r="C396" s="75">
        <f t="shared" si="74"/>
        <v>9689863.1999999993</v>
      </c>
      <c r="D396" s="75">
        <f t="shared" si="75"/>
        <v>0</v>
      </c>
      <c r="E396" s="75">
        <v>0</v>
      </c>
      <c r="F396" s="75">
        <v>0</v>
      </c>
      <c r="G396" s="75">
        <v>0</v>
      </c>
      <c r="H396" s="75">
        <v>0</v>
      </c>
      <c r="I396" s="75">
        <v>0</v>
      </c>
      <c r="J396" s="152">
        <v>0</v>
      </c>
      <c r="K396" s="75">
        <v>0</v>
      </c>
      <c r="L396" s="75">
        <v>9689863.1999999993</v>
      </c>
      <c r="M396" s="75">
        <v>0</v>
      </c>
      <c r="N396" s="75">
        <v>0</v>
      </c>
      <c r="O396" s="75">
        <v>0</v>
      </c>
      <c r="P396" s="75">
        <v>0</v>
      </c>
      <c r="Q396" s="75">
        <v>0</v>
      </c>
      <c r="R396" s="75">
        <v>0</v>
      </c>
      <c r="S396" s="75">
        <v>0</v>
      </c>
      <c r="T396" s="75">
        <v>0</v>
      </c>
      <c r="U396" s="264"/>
      <c r="V396" s="264"/>
    </row>
    <row r="397" spans="1:23" s="186" customFormat="1" ht="22.5" customHeight="1" x14ac:dyDescent="0.25">
      <c r="A397" s="322" t="s">
        <v>503</v>
      </c>
      <c r="B397" s="322"/>
      <c r="C397" s="118">
        <f t="shared" ref="C397:T397" si="76">SUM(C398:C408)</f>
        <v>54513546.969999991</v>
      </c>
      <c r="D397" s="118">
        <f t="shared" si="76"/>
        <v>6687217.4300000006</v>
      </c>
      <c r="E397" s="118">
        <f t="shared" si="76"/>
        <v>4063941.37</v>
      </c>
      <c r="F397" s="118">
        <f t="shared" si="76"/>
        <v>1304226.32</v>
      </c>
      <c r="G397" s="118">
        <f t="shared" si="76"/>
        <v>0</v>
      </c>
      <c r="H397" s="118">
        <f t="shared" si="76"/>
        <v>180067.84</v>
      </c>
      <c r="I397" s="118">
        <f t="shared" si="76"/>
        <v>1138981.8999999999</v>
      </c>
      <c r="J397" s="119">
        <f t="shared" si="76"/>
        <v>0</v>
      </c>
      <c r="K397" s="118">
        <f t="shared" si="76"/>
        <v>0</v>
      </c>
      <c r="L397" s="118">
        <f t="shared" si="76"/>
        <v>0</v>
      </c>
      <c r="M397" s="118">
        <f t="shared" si="76"/>
        <v>0</v>
      </c>
      <c r="N397" s="118">
        <f t="shared" si="76"/>
        <v>15633195.200000001</v>
      </c>
      <c r="O397" s="118">
        <f t="shared" si="76"/>
        <v>0</v>
      </c>
      <c r="P397" s="118">
        <f t="shared" si="76"/>
        <v>2420950.73</v>
      </c>
      <c r="Q397" s="118">
        <f t="shared" si="76"/>
        <v>0</v>
      </c>
      <c r="R397" s="118">
        <f t="shared" si="76"/>
        <v>0</v>
      </c>
      <c r="S397" s="118">
        <f t="shared" si="76"/>
        <v>29772183.609999999</v>
      </c>
      <c r="T397" s="118">
        <f t="shared" si="76"/>
        <v>0</v>
      </c>
      <c r="U397" s="238"/>
      <c r="V397" s="238"/>
    </row>
    <row r="398" spans="1:23" s="186" customFormat="1" ht="22.5" customHeight="1" x14ac:dyDescent="0.25">
      <c r="A398" s="266">
        <v>1</v>
      </c>
      <c r="B398" s="267" t="s">
        <v>1128</v>
      </c>
      <c r="C398" s="75">
        <f t="shared" ref="C398:C408" si="77">D398+K398+L398+M398+N398+O398+P398+Q398+R398+S398+T398</f>
        <v>11570718.109999999</v>
      </c>
      <c r="D398" s="75">
        <f t="shared" ref="D398:D408" si="78">SUM(E398:I398)</f>
        <v>0</v>
      </c>
      <c r="E398" s="75">
        <v>0</v>
      </c>
      <c r="F398" s="75">
        <v>0</v>
      </c>
      <c r="G398" s="75">
        <v>0</v>
      </c>
      <c r="H398" s="75">
        <v>0</v>
      </c>
      <c r="I398" s="75">
        <v>0</v>
      </c>
      <c r="J398" s="152">
        <v>0</v>
      </c>
      <c r="K398" s="75">
        <v>0</v>
      </c>
      <c r="L398" s="75">
        <v>0</v>
      </c>
      <c r="M398" s="75">
        <v>0</v>
      </c>
      <c r="N398" s="75">
        <v>0</v>
      </c>
      <c r="O398" s="75">
        <v>0</v>
      </c>
      <c r="P398" s="87">
        <v>278033.17</v>
      </c>
      <c r="Q398" s="75">
        <v>0</v>
      </c>
      <c r="R398" s="75">
        <v>0</v>
      </c>
      <c r="S398" s="75">
        <v>11292684.939999999</v>
      </c>
      <c r="T398" s="75">
        <v>0</v>
      </c>
      <c r="U398" s="243"/>
      <c r="V398" s="243"/>
    </row>
    <row r="399" spans="1:23" s="186" customFormat="1" ht="22.5" customHeight="1" x14ac:dyDescent="0.25">
      <c r="A399" s="266">
        <v>2</v>
      </c>
      <c r="B399" s="267" t="s">
        <v>1129</v>
      </c>
      <c r="C399" s="75">
        <f t="shared" si="77"/>
        <v>10086729.859999999</v>
      </c>
      <c r="D399" s="75">
        <f t="shared" si="78"/>
        <v>0</v>
      </c>
      <c r="E399" s="75">
        <v>0</v>
      </c>
      <c r="F399" s="75">
        <v>0</v>
      </c>
      <c r="G399" s="75">
        <v>0</v>
      </c>
      <c r="H399" s="75">
        <v>0</v>
      </c>
      <c r="I399" s="75">
        <v>0</v>
      </c>
      <c r="J399" s="152">
        <v>0</v>
      </c>
      <c r="K399" s="75">
        <v>0</v>
      </c>
      <c r="L399" s="75">
        <v>0</v>
      </c>
      <c r="M399" s="75">
        <v>0</v>
      </c>
      <c r="N399" s="87">
        <v>0</v>
      </c>
      <c r="O399" s="75">
        <v>0</v>
      </c>
      <c r="P399" s="87">
        <v>0</v>
      </c>
      <c r="Q399" s="75">
        <v>0</v>
      </c>
      <c r="R399" s="75">
        <v>0</v>
      </c>
      <c r="S399" s="75">
        <v>10086729.859999999</v>
      </c>
      <c r="T399" s="75">
        <v>0</v>
      </c>
      <c r="U399" s="243"/>
      <c r="V399" s="243"/>
    </row>
    <row r="400" spans="1:23" s="186" customFormat="1" ht="22.5" customHeight="1" x14ac:dyDescent="0.25">
      <c r="A400" s="266">
        <v>3</v>
      </c>
      <c r="B400" s="267" t="s">
        <v>1130</v>
      </c>
      <c r="C400" s="75">
        <f t="shared" si="77"/>
        <v>7887942.04</v>
      </c>
      <c r="D400" s="75">
        <f t="shared" si="78"/>
        <v>0</v>
      </c>
      <c r="E400" s="75">
        <v>0</v>
      </c>
      <c r="F400" s="75">
        <v>0</v>
      </c>
      <c r="G400" s="75">
        <v>0</v>
      </c>
      <c r="H400" s="75">
        <v>0</v>
      </c>
      <c r="I400" s="75">
        <v>0</v>
      </c>
      <c r="J400" s="152">
        <v>0</v>
      </c>
      <c r="K400" s="75">
        <v>0</v>
      </c>
      <c r="L400" s="75">
        <v>0</v>
      </c>
      <c r="M400" s="75">
        <v>0</v>
      </c>
      <c r="N400" s="75">
        <v>7643175.3200000003</v>
      </c>
      <c r="O400" s="75">
        <v>0</v>
      </c>
      <c r="P400" s="87">
        <v>244766.72</v>
      </c>
      <c r="Q400" s="75">
        <v>0</v>
      </c>
      <c r="R400" s="75">
        <v>0</v>
      </c>
      <c r="S400" s="75">
        <v>0</v>
      </c>
      <c r="T400" s="75">
        <v>0</v>
      </c>
      <c r="U400" s="243"/>
      <c r="V400" s="243"/>
    </row>
    <row r="401" spans="1:39" s="186" customFormat="1" ht="22.5" customHeight="1" x14ac:dyDescent="0.25">
      <c r="A401" s="266">
        <v>4</v>
      </c>
      <c r="B401" s="267" t="s">
        <v>1131</v>
      </c>
      <c r="C401" s="75">
        <f t="shared" si="77"/>
        <v>15968597.07</v>
      </c>
      <c r="D401" s="75">
        <f t="shared" si="78"/>
        <v>0</v>
      </c>
      <c r="E401" s="75">
        <v>0</v>
      </c>
      <c r="F401" s="75">
        <v>0</v>
      </c>
      <c r="G401" s="75">
        <v>0</v>
      </c>
      <c r="H401" s="75">
        <v>0</v>
      </c>
      <c r="I401" s="75">
        <v>0</v>
      </c>
      <c r="J401" s="152">
        <v>0</v>
      </c>
      <c r="K401" s="75">
        <v>0</v>
      </c>
      <c r="L401" s="75">
        <v>0</v>
      </c>
      <c r="M401" s="75">
        <v>0</v>
      </c>
      <c r="N401" s="75">
        <v>7038472.5</v>
      </c>
      <c r="O401" s="75">
        <v>0</v>
      </c>
      <c r="P401" s="87">
        <f>280269.31+257086.45</f>
        <v>537355.76</v>
      </c>
      <c r="Q401" s="75">
        <v>0</v>
      </c>
      <c r="R401" s="75">
        <v>0</v>
      </c>
      <c r="S401" s="75">
        <v>8392768.8100000005</v>
      </c>
      <c r="T401" s="75">
        <v>0</v>
      </c>
      <c r="U401" s="243"/>
      <c r="V401" s="243"/>
    </row>
    <row r="402" spans="1:39" s="186" customFormat="1" ht="22.5" customHeight="1" x14ac:dyDescent="0.25">
      <c r="A402" s="266">
        <v>5</v>
      </c>
      <c r="B402" s="37" t="s">
        <v>1132</v>
      </c>
      <c r="C402" s="75">
        <f t="shared" si="77"/>
        <v>280159.23</v>
      </c>
      <c r="D402" s="75">
        <f t="shared" si="78"/>
        <v>0</v>
      </c>
      <c r="E402" s="75">
        <v>0</v>
      </c>
      <c r="F402" s="75">
        <v>0</v>
      </c>
      <c r="G402" s="75">
        <v>0</v>
      </c>
      <c r="H402" s="75">
        <v>0</v>
      </c>
      <c r="I402" s="75">
        <v>0</v>
      </c>
      <c r="J402" s="152">
        <v>0</v>
      </c>
      <c r="K402" s="75">
        <v>0</v>
      </c>
      <c r="L402" s="87">
        <v>0</v>
      </c>
      <c r="M402" s="75">
        <v>0</v>
      </c>
      <c r="N402" s="75">
        <v>0</v>
      </c>
      <c r="O402" s="75">
        <v>0</v>
      </c>
      <c r="P402" s="75">
        <v>280159.23</v>
      </c>
      <c r="Q402" s="75">
        <v>0</v>
      </c>
      <c r="R402" s="75">
        <v>0</v>
      </c>
      <c r="S402" s="75">
        <v>0</v>
      </c>
      <c r="T402" s="75">
        <v>0</v>
      </c>
      <c r="U402" s="238"/>
      <c r="V402" s="238"/>
    </row>
    <row r="403" spans="1:39" s="186" customFormat="1" ht="22.5" customHeight="1" x14ac:dyDescent="0.25">
      <c r="A403" s="266">
        <v>6</v>
      </c>
      <c r="B403" s="38" t="s">
        <v>509</v>
      </c>
      <c r="C403" s="75">
        <f t="shared" si="77"/>
        <v>961175.74</v>
      </c>
      <c r="D403" s="75">
        <f t="shared" si="78"/>
        <v>961175.74</v>
      </c>
      <c r="E403" s="75">
        <v>961175.74</v>
      </c>
      <c r="F403" s="75">
        <v>0</v>
      </c>
      <c r="G403" s="75">
        <v>0</v>
      </c>
      <c r="H403" s="75">
        <v>0</v>
      </c>
      <c r="I403" s="75">
        <v>0</v>
      </c>
      <c r="J403" s="152">
        <v>0</v>
      </c>
      <c r="K403" s="75">
        <v>0</v>
      </c>
      <c r="L403" s="75">
        <v>0</v>
      </c>
      <c r="M403" s="75">
        <v>0</v>
      </c>
      <c r="N403" s="75">
        <v>0</v>
      </c>
      <c r="O403" s="75">
        <v>0</v>
      </c>
      <c r="P403" s="75">
        <v>0</v>
      </c>
      <c r="Q403" s="75">
        <v>0</v>
      </c>
      <c r="R403" s="75">
        <v>0</v>
      </c>
      <c r="S403" s="75">
        <v>0</v>
      </c>
      <c r="T403" s="75">
        <v>0</v>
      </c>
      <c r="U403" s="253"/>
      <c r="V403" s="253"/>
      <c r="W403" s="40"/>
      <c r="X403" s="40"/>
      <c r="Y403" s="40"/>
      <c r="Z403" s="40"/>
      <c r="AA403" s="40"/>
      <c r="AB403" s="40"/>
      <c r="AC403" s="40"/>
      <c r="AD403" s="40"/>
      <c r="AE403" s="40"/>
      <c r="AF403" s="40"/>
      <c r="AG403" s="40"/>
      <c r="AH403" s="40"/>
      <c r="AI403" s="40"/>
    </row>
    <row r="404" spans="1:39" s="186" customFormat="1" ht="22.5" customHeight="1" x14ac:dyDescent="0.25">
      <c r="A404" s="266">
        <v>7</v>
      </c>
      <c r="B404" s="38" t="s">
        <v>1133</v>
      </c>
      <c r="C404" s="75">
        <f t="shared" si="77"/>
        <v>171777.79</v>
      </c>
      <c r="D404" s="75">
        <f t="shared" si="78"/>
        <v>0</v>
      </c>
      <c r="E404" s="75">
        <v>0</v>
      </c>
      <c r="F404" s="75">
        <v>0</v>
      </c>
      <c r="G404" s="75">
        <v>0</v>
      </c>
      <c r="H404" s="75">
        <v>0</v>
      </c>
      <c r="I404" s="75">
        <v>0</v>
      </c>
      <c r="J404" s="152">
        <v>0</v>
      </c>
      <c r="K404" s="75">
        <v>0</v>
      </c>
      <c r="L404" s="75">
        <v>0</v>
      </c>
      <c r="M404" s="75">
        <v>0</v>
      </c>
      <c r="N404" s="75">
        <v>0</v>
      </c>
      <c r="O404" s="75">
        <v>0</v>
      </c>
      <c r="P404" s="75">
        <v>171777.79</v>
      </c>
      <c r="Q404" s="75">
        <v>0</v>
      </c>
      <c r="R404" s="75">
        <v>0</v>
      </c>
      <c r="S404" s="75">
        <v>0</v>
      </c>
      <c r="T404" s="118">
        <v>0</v>
      </c>
      <c r="U404" s="253"/>
      <c r="V404" s="253"/>
    </row>
    <row r="405" spans="1:39" s="186" customFormat="1" ht="22.5" customHeight="1" x14ac:dyDescent="0.25">
      <c r="A405" s="266">
        <v>8</v>
      </c>
      <c r="B405" s="37" t="s">
        <v>1134</v>
      </c>
      <c r="C405" s="75">
        <f t="shared" si="77"/>
        <v>2717269.37</v>
      </c>
      <c r="D405" s="75">
        <f t="shared" si="78"/>
        <v>2178706.83</v>
      </c>
      <c r="E405" s="75">
        <v>2178706.83</v>
      </c>
      <c r="F405" s="75">
        <v>0</v>
      </c>
      <c r="G405" s="75">
        <v>0</v>
      </c>
      <c r="H405" s="75">
        <v>0</v>
      </c>
      <c r="I405" s="75">
        <v>0</v>
      </c>
      <c r="J405" s="152">
        <v>0</v>
      </c>
      <c r="K405" s="75">
        <v>0</v>
      </c>
      <c r="L405" s="75">
        <v>0</v>
      </c>
      <c r="M405" s="75">
        <v>0</v>
      </c>
      <c r="N405" s="75">
        <v>0</v>
      </c>
      <c r="O405" s="75">
        <v>0</v>
      </c>
      <c r="P405" s="75">
        <f>252233.51+286329.03</f>
        <v>538562.54</v>
      </c>
      <c r="Q405" s="75">
        <v>0</v>
      </c>
      <c r="R405" s="75">
        <v>0</v>
      </c>
      <c r="S405" s="75">
        <v>0</v>
      </c>
      <c r="T405" s="75">
        <v>0</v>
      </c>
      <c r="U405" s="253"/>
      <c r="V405" s="253"/>
    </row>
    <row r="406" spans="1:39" s="186" customFormat="1" ht="22.5" customHeight="1" x14ac:dyDescent="0.25">
      <c r="A406" s="266">
        <v>9</v>
      </c>
      <c r="B406" s="38" t="s">
        <v>512</v>
      </c>
      <c r="C406" s="75">
        <f t="shared" si="77"/>
        <v>2309685.83</v>
      </c>
      <c r="D406" s="75">
        <f t="shared" si="78"/>
        <v>1358138.4500000002</v>
      </c>
      <c r="E406" s="87">
        <v>924058.8</v>
      </c>
      <c r="F406" s="75">
        <v>0</v>
      </c>
      <c r="G406" s="75">
        <v>0</v>
      </c>
      <c r="H406" s="75">
        <v>0</v>
      </c>
      <c r="I406" s="87">
        <v>434079.65</v>
      </c>
      <c r="J406" s="152">
        <v>0</v>
      </c>
      <c r="K406" s="75">
        <v>0</v>
      </c>
      <c r="L406" s="75">
        <v>0</v>
      </c>
      <c r="M406" s="75">
        <v>0</v>
      </c>
      <c r="N406" s="75">
        <v>951547.38</v>
      </c>
      <c r="O406" s="75">
        <v>0</v>
      </c>
      <c r="P406" s="87">
        <v>0</v>
      </c>
      <c r="Q406" s="75">
        <v>0</v>
      </c>
      <c r="R406" s="75">
        <v>0</v>
      </c>
      <c r="S406" s="75">
        <v>0</v>
      </c>
      <c r="T406" s="75">
        <v>0</v>
      </c>
      <c r="U406" s="253"/>
      <c r="V406" s="253"/>
    </row>
    <row r="407" spans="1:39" s="186" customFormat="1" ht="22.5" customHeight="1" x14ac:dyDescent="0.25">
      <c r="A407" s="266">
        <v>10</v>
      </c>
      <c r="B407" s="38" t="s">
        <v>513</v>
      </c>
      <c r="C407" s="75">
        <f t="shared" si="77"/>
        <v>2189196.41</v>
      </c>
      <c r="D407" s="75">
        <f t="shared" si="78"/>
        <v>2189196.41</v>
      </c>
      <c r="E407" s="87">
        <v>0</v>
      </c>
      <c r="F407" s="87">
        <v>1304226.32</v>
      </c>
      <c r="G407" s="75">
        <v>0</v>
      </c>
      <c r="H407" s="87">
        <v>180067.84</v>
      </c>
      <c r="I407" s="87">
        <v>704902.25</v>
      </c>
      <c r="J407" s="152">
        <v>0</v>
      </c>
      <c r="K407" s="75">
        <v>0</v>
      </c>
      <c r="L407" s="75">
        <v>0</v>
      </c>
      <c r="M407" s="75">
        <v>0</v>
      </c>
      <c r="N407" s="75">
        <v>0</v>
      </c>
      <c r="O407" s="75">
        <v>0</v>
      </c>
      <c r="P407" s="87">
        <v>0</v>
      </c>
      <c r="Q407" s="75">
        <v>0</v>
      </c>
      <c r="R407" s="75">
        <v>0</v>
      </c>
      <c r="S407" s="75">
        <v>0</v>
      </c>
      <c r="T407" s="75">
        <v>0</v>
      </c>
      <c r="U407" s="253"/>
      <c r="V407" s="253"/>
      <c r="W407" s="44"/>
      <c r="X407" s="44"/>
      <c r="Y407" s="44"/>
      <c r="Z407" s="44"/>
      <c r="AA407" s="44"/>
      <c r="AB407" s="44"/>
      <c r="AC407" s="44"/>
      <c r="AD407" s="44"/>
      <c r="AE407" s="44"/>
      <c r="AF407" s="44"/>
      <c r="AG407" s="44"/>
      <c r="AH407" s="44"/>
      <c r="AI407" s="44"/>
      <c r="AJ407" s="44"/>
      <c r="AK407" s="44"/>
      <c r="AL407" s="44"/>
      <c r="AM407" s="44"/>
    </row>
    <row r="408" spans="1:39" s="186" customFormat="1" ht="22.5" customHeight="1" x14ac:dyDescent="0.25">
      <c r="A408" s="266">
        <v>11</v>
      </c>
      <c r="B408" s="38" t="s">
        <v>1135</v>
      </c>
      <c r="C408" s="75">
        <f t="shared" si="77"/>
        <v>370295.52</v>
      </c>
      <c r="D408" s="75">
        <f t="shared" si="78"/>
        <v>0</v>
      </c>
      <c r="E408" s="75">
        <v>0</v>
      </c>
      <c r="F408" s="87">
        <v>0</v>
      </c>
      <c r="G408" s="75">
        <v>0</v>
      </c>
      <c r="H408" s="75">
        <v>0</v>
      </c>
      <c r="I408" s="75">
        <v>0</v>
      </c>
      <c r="J408" s="152">
        <v>0</v>
      </c>
      <c r="K408" s="75">
        <v>0</v>
      </c>
      <c r="L408" s="75">
        <v>0</v>
      </c>
      <c r="M408" s="75">
        <v>0</v>
      </c>
      <c r="N408" s="75">
        <v>0</v>
      </c>
      <c r="O408" s="75">
        <v>0</v>
      </c>
      <c r="P408" s="87">
        <f>172328.35+197967.17</f>
        <v>370295.52</v>
      </c>
      <c r="Q408" s="75">
        <v>0</v>
      </c>
      <c r="R408" s="75">
        <v>0</v>
      </c>
      <c r="S408" s="75">
        <v>0</v>
      </c>
      <c r="T408" s="75">
        <v>0</v>
      </c>
      <c r="U408" s="253"/>
      <c r="V408" s="253"/>
      <c r="W408" s="44"/>
      <c r="X408" s="44"/>
      <c r="Y408" s="44"/>
      <c r="Z408" s="44"/>
      <c r="AA408" s="44"/>
      <c r="AB408" s="44"/>
      <c r="AC408" s="44"/>
      <c r="AD408" s="44"/>
      <c r="AE408" s="44"/>
      <c r="AF408" s="44"/>
      <c r="AG408" s="44"/>
      <c r="AH408" s="44"/>
      <c r="AI408" s="44"/>
      <c r="AJ408" s="44"/>
      <c r="AK408" s="44"/>
      <c r="AL408" s="44"/>
      <c r="AM408" s="44"/>
    </row>
    <row r="409" spans="1:39" s="186" customFormat="1" ht="33.75" customHeight="1" x14ac:dyDescent="0.25">
      <c r="A409" s="322" t="s">
        <v>1136</v>
      </c>
      <c r="B409" s="322"/>
      <c r="C409" s="118">
        <f t="shared" ref="C409:T409" si="79">C410+C428+C446+C450</f>
        <v>69542225.150000006</v>
      </c>
      <c r="D409" s="118">
        <f t="shared" si="79"/>
        <v>36884798.870000005</v>
      </c>
      <c r="E409" s="118">
        <f t="shared" si="79"/>
        <v>11059124.41</v>
      </c>
      <c r="F409" s="118">
        <f t="shared" si="79"/>
        <v>16231112.620000001</v>
      </c>
      <c r="G409" s="118">
        <f t="shared" si="79"/>
        <v>1505118.6</v>
      </c>
      <c r="H409" s="118">
        <f t="shared" si="79"/>
        <v>2182520.58</v>
      </c>
      <c r="I409" s="118">
        <f t="shared" si="79"/>
        <v>5906922.6600000001</v>
      </c>
      <c r="J409" s="119">
        <f t="shared" si="79"/>
        <v>0</v>
      </c>
      <c r="K409" s="118">
        <f t="shared" si="79"/>
        <v>0</v>
      </c>
      <c r="L409" s="118">
        <f t="shared" si="79"/>
        <v>25843924.729999997</v>
      </c>
      <c r="M409" s="118">
        <f t="shared" si="79"/>
        <v>0</v>
      </c>
      <c r="N409" s="118">
        <f t="shared" si="79"/>
        <v>3062383.06</v>
      </c>
      <c r="O409" s="118">
        <f t="shared" si="79"/>
        <v>0</v>
      </c>
      <c r="P409" s="118">
        <f t="shared" si="79"/>
        <v>3751118.49</v>
      </c>
      <c r="Q409" s="118">
        <f t="shared" si="79"/>
        <v>0</v>
      </c>
      <c r="R409" s="118">
        <f t="shared" si="79"/>
        <v>0</v>
      </c>
      <c r="S409" s="118">
        <f t="shared" si="79"/>
        <v>0</v>
      </c>
      <c r="T409" s="118">
        <f t="shared" si="79"/>
        <v>0</v>
      </c>
      <c r="U409" s="238"/>
      <c r="V409" s="238"/>
    </row>
    <row r="410" spans="1:39" s="186" customFormat="1" ht="22.5" customHeight="1" x14ac:dyDescent="0.25">
      <c r="A410" s="326" t="s">
        <v>517</v>
      </c>
      <c r="B410" s="326"/>
      <c r="C410" s="118">
        <f t="shared" ref="C410:T410" si="80">SUM(C411:C427)</f>
        <v>21333310.550000004</v>
      </c>
      <c r="D410" s="118">
        <f t="shared" si="80"/>
        <v>15995578.890000001</v>
      </c>
      <c r="E410" s="118">
        <f t="shared" si="80"/>
        <v>5769867.5999999996</v>
      </c>
      <c r="F410" s="118">
        <f t="shared" si="80"/>
        <v>3464673.85</v>
      </c>
      <c r="G410" s="118">
        <f t="shared" si="80"/>
        <v>917020.36</v>
      </c>
      <c r="H410" s="118">
        <f t="shared" si="80"/>
        <v>1283145.75</v>
      </c>
      <c r="I410" s="118">
        <f t="shared" si="80"/>
        <v>4560871.33</v>
      </c>
      <c r="J410" s="119">
        <f t="shared" si="80"/>
        <v>0</v>
      </c>
      <c r="K410" s="118">
        <f t="shared" si="80"/>
        <v>0</v>
      </c>
      <c r="L410" s="118">
        <f t="shared" si="80"/>
        <v>384128.83</v>
      </c>
      <c r="M410" s="118">
        <f t="shared" si="80"/>
        <v>0</v>
      </c>
      <c r="N410" s="118">
        <f t="shared" si="80"/>
        <v>3062383.06</v>
      </c>
      <c r="O410" s="118">
        <f t="shared" si="80"/>
        <v>0</v>
      </c>
      <c r="P410" s="118">
        <f t="shared" si="80"/>
        <v>1891219.77</v>
      </c>
      <c r="Q410" s="118">
        <f t="shared" si="80"/>
        <v>0</v>
      </c>
      <c r="R410" s="118">
        <f t="shared" si="80"/>
        <v>0</v>
      </c>
      <c r="S410" s="118">
        <f t="shared" si="80"/>
        <v>0</v>
      </c>
      <c r="T410" s="118">
        <f t="shared" si="80"/>
        <v>0</v>
      </c>
      <c r="U410" s="238"/>
      <c r="V410" s="238"/>
    </row>
    <row r="411" spans="1:39" s="186" customFormat="1" ht="22.5" customHeight="1" x14ac:dyDescent="0.25">
      <c r="A411" s="25">
        <v>1</v>
      </c>
      <c r="B411" s="26" t="s">
        <v>518</v>
      </c>
      <c r="C411" s="75">
        <f t="shared" ref="C411:C452" si="81">D411+K411+L411+M411+N411+O411+P411+Q411+R411+S411+T411</f>
        <v>559408.80000000005</v>
      </c>
      <c r="D411" s="75">
        <f t="shared" ref="D411:D452" si="82">SUM(E411:I411)</f>
        <v>559408.80000000005</v>
      </c>
      <c r="E411" s="98" t="s">
        <v>1137</v>
      </c>
      <c r="F411" s="87">
        <v>0</v>
      </c>
      <c r="G411" s="87">
        <v>0</v>
      </c>
      <c r="H411" s="87">
        <v>0</v>
      </c>
      <c r="I411" s="87">
        <v>559408.80000000005</v>
      </c>
      <c r="J411" s="240">
        <v>0</v>
      </c>
      <c r="K411" s="87">
        <v>0</v>
      </c>
      <c r="L411" s="87">
        <v>0</v>
      </c>
      <c r="M411" s="87">
        <v>0</v>
      </c>
      <c r="N411" s="87">
        <v>0</v>
      </c>
      <c r="O411" s="87">
        <v>0</v>
      </c>
      <c r="P411" s="87">
        <v>0</v>
      </c>
      <c r="Q411" s="87">
        <v>0</v>
      </c>
      <c r="R411" s="87">
        <v>0</v>
      </c>
      <c r="S411" s="87">
        <v>0</v>
      </c>
      <c r="T411" s="87">
        <v>0</v>
      </c>
      <c r="U411" s="253"/>
      <c r="V411" s="253"/>
    </row>
    <row r="412" spans="1:39" s="186" customFormat="1" ht="22.5" customHeight="1" x14ac:dyDescent="0.25">
      <c r="A412" s="25">
        <v>2</v>
      </c>
      <c r="B412" s="26" t="s">
        <v>519</v>
      </c>
      <c r="C412" s="75">
        <f t="shared" si="81"/>
        <v>3062383.06</v>
      </c>
      <c r="D412" s="75">
        <f t="shared" si="82"/>
        <v>0</v>
      </c>
      <c r="E412" s="98">
        <v>0</v>
      </c>
      <c r="F412" s="87">
        <v>0</v>
      </c>
      <c r="G412" s="87">
        <v>0</v>
      </c>
      <c r="H412" s="87">
        <v>0</v>
      </c>
      <c r="I412" s="87">
        <v>0</v>
      </c>
      <c r="J412" s="152">
        <v>0</v>
      </c>
      <c r="K412" s="87">
        <v>0</v>
      </c>
      <c r="L412" s="75">
        <v>0</v>
      </c>
      <c r="M412" s="75">
        <v>0</v>
      </c>
      <c r="N412" s="87">
        <v>3062383.06</v>
      </c>
      <c r="O412" s="75">
        <v>0</v>
      </c>
      <c r="P412" s="87">
        <v>0</v>
      </c>
      <c r="Q412" s="75">
        <v>0</v>
      </c>
      <c r="R412" s="75">
        <v>0</v>
      </c>
      <c r="S412" s="75">
        <v>0</v>
      </c>
      <c r="T412" s="75">
        <v>0</v>
      </c>
      <c r="U412" s="243"/>
      <c r="V412" s="243"/>
    </row>
    <row r="413" spans="1:39" s="186" customFormat="1" ht="22.5" customHeight="1" x14ac:dyDescent="0.25">
      <c r="A413" s="25">
        <v>3</v>
      </c>
      <c r="B413" s="26" t="s">
        <v>520</v>
      </c>
      <c r="C413" s="75">
        <f t="shared" si="81"/>
        <v>546133.19999999995</v>
      </c>
      <c r="D413" s="75">
        <f t="shared" si="82"/>
        <v>546133.19999999995</v>
      </c>
      <c r="E413" s="98">
        <v>0</v>
      </c>
      <c r="F413" s="87">
        <v>0</v>
      </c>
      <c r="G413" s="87">
        <v>0</v>
      </c>
      <c r="H413" s="87">
        <v>0</v>
      </c>
      <c r="I413" s="87">
        <v>546133.19999999995</v>
      </c>
      <c r="J413" s="152">
        <v>0</v>
      </c>
      <c r="K413" s="87">
        <v>0</v>
      </c>
      <c r="L413" s="75">
        <v>0</v>
      </c>
      <c r="M413" s="75">
        <v>0</v>
      </c>
      <c r="N413" s="87">
        <v>0</v>
      </c>
      <c r="O413" s="75">
        <v>0</v>
      </c>
      <c r="P413" s="87">
        <v>0</v>
      </c>
      <c r="Q413" s="75">
        <v>0</v>
      </c>
      <c r="R413" s="75">
        <v>0</v>
      </c>
      <c r="S413" s="75">
        <v>0</v>
      </c>
      <c r="T413" s="75">
        <v>0</v>
      </c>
      <c r="U413" s="243"/>
      <c r="V413" s="243"/>
    </row>
    <row r="414" spans="1:39" s="186" customFormat="1" ht="22.5" customHeight="1" x14ac:dyDescent="0.25">
      <c r="A414" s="25">
        <v>4</v>
      </c>
      <c r="B414" s="26" t="s">
        <v>521</v>
      </c>
      <c r="C414" s="75">
        <f t="shared" si="81"/>
        <v>697489.2</v>
      </c>
      <c r="D414" s="75">
        <f t="shared" si="82"/>
        <v>697489.2</v>
      </c>
      <c r="E414" s="98">
        <v>0</v>
      </c>
      <c r="F414" s="87">
        <v>0</v>
      </c>
      <c r="G414" s="87">
        <v>0</v>
      </c>
      <c r="H414" s="87">
        <v>339404.4</v>
      </c>
      <c r="I414" s="87">
        <v>358084.8</v>
      </c>
      <c r="J414" s="152">
        <v>0</v>
      </c>
      <c r="K414" s="87">
        <v>0</v>
      </c>
      <c r="L414" s="87">
        <v>0</v>
      </c>
      <c r="M414" s="75">
        <v>0</v>
      </c>
      <c r="N414" s="87">
        <v>0</v>
      </c>
      <c r="O414" s="75">
        <v>0</v>
      </c>
      <c r="P414" s="87">
        <v>0</v>
      </c>
      <c r="Q414" s="75">
        <v>0</v>
      </c>
      <c r="R414" s="75">
        <v>0</v>
      </c>
      <c r="S414" s="75">
        <v>0</v>
      </c>
      <c r="T414" s="75">
        <v>0</v>
      </c>
      <c r="U414" s="243"/>
      <c r="V414" s="243"/>
    </row>
    <row r="415" spans="1:39" s="186" customFormat="1" ht="22.5" customHeight="1" x14ac:dyDescent="0.25">
      <c r="A415" s="25">
        <v>5</v>
      </c>
      <c r="B415" s="26" t="s">
        <v>523</v>
      </c>
      <c r="C415" s="75">
        <f t="shared" si="81"/>
        <v>726124.11</v>
      </c>
      <c r="D415" s="75">
        <f t="shared" si="82"/>
        <v>726124.11</v>
      </c>
      <c r="E415" s="98" t="s">
        <v>1137</v>
      </c>
      <c r="F415" s="98">
        <v>726124.11</v>
      </c>
      <c r="G415" s="87">
        <v>0</v>
      </c>
      <c r="H415" s="87">
        <v>0</v>
      </c>
      <c r="I415" s="87">
        <v>0</v>
      </c>
      <c r="J415" s="240">
        <v>0</v>
      </c>
      <c r="K415" s="87">
        <v>0</v>
      </c>
      <c r="L415" s="87">
        <v>0</v>
      </c>
      <c r="M415" s="87">
        <v>0</v>
      </c>
      <c r="N415" s="87">
        <v>0</v>
      </c>
      <c r="O415" s="87">
        <v>0</v>
      </c>
      <c r="P415" s="87">
        <v>0</v>
      </c>
      <c r="Q415" s="87">
        <v>0</v>
      </c>
      <c r="R415" s="87">
        <v>0</v>
      </c>
      <c r="S415" s="87">
        <v>0</v>
      </c>
      <c r="T415" s="87">
        <v>0</v>
      </c>
      <c r="U415" s="253"/>
      <c r="V415" s="253"/>
    </row>
    <row r="416" spans="1:39" s="186" customFormat="1" ht="22.5" customHeight="1" x14ac:dyDescent="0.25">
      <c r="A416" s="25">
        <v>6</v>
      </c>
      <c r="B416" s="26" t="s">
        <v>1138</v>
      </c>
      <c r="C416" s="75">
        <f t="shared" si="81"/>
        <v>3348018.99</v>
      </c>
      <c r="D416" s="75">
        <f t="shared" si="82"/>
        <v>3077770.54</v>
      </c>
      <c r="E416" s="98">
        <v>0</v>
      </c>
      <c r="F416" s="87">
        <v>2738549.74</v>
      </c>
      <c r="G416" s="75">
        <v>0</v>
      </c>
      <c r="H416" s="87">
        <v>0</v>
      </c>
      <c r="I416" s="98">
        <v>339220.8</v>
      </c>
      <c r="J416" s="152">
        <v>0</v>
      </c>
      <c r="K416" s="87">
        <v>0</v>
      </c>
      <c r="L416" s="75">
        <v>0</v>
      </c>
      <c r="M416" s="75">
        <v>0</v>
      </c>
      <c r="N416" s="75">
        <v>0</v>
      </c>
      <c r="O416" s="75">
        <v>0</v>
      </c>
      <c r="P416" s="87">
        <v>270248.45</v>
      </c>
      <c r="Q416" s="75">
        <v>0</v>
      </c>
      <c r="R416" s="75">
        <v>0</v>
      </c>
      <c r="S416" s="75">
        <v>0</v>
      </c>
      <c r="T416" s="75">
        <v>0</v>
      </c>
      <c r="U416" s="243"/>
      <c r="V416" s="243"/>
    </row>
    <row r="417" spans="1:39" s="186" customFormat="1" ht="22.5" customHeight="1" x14ac:dyDescent="0.25">
      <c r="A417" s="25">
        <v>7</v>
      </c>
      <c r="B417" s="26" t="s">
        <v>525</v>
      </c>
      <c r="C417" s="75">
        <f t="shared" si="81"/>
        <v>1124231.67</v>
      </c>
      <c r="D417" s="75">
        <f t="shared" si="82"/>
        <v>1124231.67</v>
      </c>
      <c r="E417" s="75">
        <v>0</v>
      </c>
      <c r="F417" s="75">
        <v>0</v>
      </c>
      <c r="G417" s="75">
        <v>0</v>
      </c>
      <c r="H417" s="87">
        <v>400470.1</v>
      </c>
      <c r="I417" s="87">
        <v>723761.57</v>
      </c>
      <c r="J417" s="152">
        <v>0</v>
      </c>
      <c r="K417" s="75">
        <v>0</v>
      </c>
      <c r="L417" s="87">
        <v>0</v>
      </c>
      <c r="M417" s="75">
        <v>0</v>
      </c>
      <c r="N417" s="87">
        <v>0</v>
      </c>
      <c r="O417" s="75">
        <v>0</v>
      </c>
      <c r="P417" s="87">
        <v>0</v>
      </c>
      <c r="Q417" s="75">
        <v>0</v>
      </c>
      <c r="R417" s="75">
        <v>0</v>
      </c>
      <c r="S417" s="75">
        <v>0</v>
      </c>
      <c r="T417" s="75">
        <v>0</v>
      </c>
      <c r="U417" s="243"/>
      <c r="V417" s="243"/>
    </row>
    <row r="418" spans="1:39" s="186" customFormat="1" ht="22.5" customHeight="1" x14ac:dyDescent="0.25">
      <c r="A418" s="25">
        <v>8</v>
      </c>
      <c r="B418" s="26" t="s">
        <v>527</v>
      </c>
      <c r="C418" s="75">
        <f t="shared" si="81"/>
        <v>3050236.8</v>
      </c>
      <c r="D418" s="75">
        <f t="shared" si="82"/>
        <v>3050236.8</v>
      </c>
      <c r="E418" s="98">
        <v>3050236.8</v>
      </c>
      <c r="F418" s="75">
        <v>0</v>
      </c>
      <c r="G418" s="75">
        <v>0</v>
      </c>
      <c r="H418" s="87">
        <v>0</v>
      </c>
      <c r="I418" s="75">
        <v>0</v>
      </c>
      <c r="J418" s="152">
        <v>0</v>
      </c>
      <c r="K418" s="87">
        <v>0</v>
      </c>
      <c r="L418" s="75">
        <v>0</v>
      </c>
      <c r="M418" s="87">
        <v>0</v>
      </c>
      <c r="N418" s="75">
        <v>0</v>
      </c>
      <c r="O418" s="75">
        <v>0</v>
      </c>
      <c r="P418" s="87">
        <v>0</v>
      </c>
      <c r="Q418" s="75">
        <v>0</v>
      </c>
      <c r="R418" s="75">
        <v>0</v>
      </c>
      <c r="S418" s="75">
        <v>0</v>
      </c>
      <c r="T418" s="75">
        <v>0</v>
      </c>
      <c r="U418" s="243"/>
      <c r="V418" s="243"/>
    </row>
    <row r="419" spans="1:39" s="186" customFormat="1" ht="22.5" customHeight="1" x14ac:dyDescent="0.25">
      <c r="A419" s="25">
        <v>9</v>
      </c>
      <c r="B419" s="26" t="s">
        <v>528</v>
      </c>
      <c r="C419" s="75">
        <f t="shared" si="81"/>
        <v>1369704</v>
      </c>
      <c r="D419" s="75">
        <f t="shared" si="82"/>
        <v>1369704</v>
      </c>
      <c r="E419" s="87">
        <v>1369704</v>
      </c>
      <c r="F419" s="87">
        <v>0</v>
      </c>
      <c r="G419" s="87">
        <v>0</v>
      </c>
      <c r="H419" s="87">
        <v>0</v>
      </c>
      <c r="I419" s="87">
        <v>0</v>
      </c>
      <c r="J419" s="240">
        <v>0</v>
      </c>
      <c r="K419" s="87">
        <v>0</v>
      </c>
      <c r="L419" s="87">
        <v>0</v>
      </c>
      <c r="M419" s="87">
        <v>0</v>
      </c>
      <c r="N419" s="87">
        <v>0</v>
      </c>
      <c r="O419" s="87">
        <v>0</v>
      </c>
      <c r="P419" s="87">
        <v>0</v>
      </c>
      <c r="Q419" s="87">
        <v>0</v>
      </c>
      <c r="R419" s="87">
        <v>0</v>
      </c>
      <c r="S419" s="87">
        <v>0</v>
      </c>
      <c r="T419" s="87">
        <v>0</v>
      </c>
      <c r="U419" s="243"/>
      <c r="V419" s="243"/>
    </row>
    <row r="420" spans="1:39" s="186" customFormat="1" ht="22.5" customHeight="1" x14ac:dyDescent="0.25">
      <c r="A420" s="25">
        <v>10</v>
      </c>
      <c r="B420" s="26" t="s">
        <v>1139</v>
      </c>
      <c r="C420" s="75">
        <f t="shared" si="81"/>
        <v>427314.80000000005</v>
      </c>
      <c r="D420" s="75">
        <f t="shared" si="82"/>
        <v>0</v>
      </c>
      <c r="E420" s="75">
        <v>0</v>
      </c>
      <c r="F420" s="75">
        <v>0</v>
      </c>
      <c r="G420" s="75">
        <v>0</v>
      </c>
      <c r="H420" s="75">
        <v>0</v>
      </c>
      <c r="I420" s="87">
        <v>0</v>
      </c>
      <c r="J420" s="152">
        <v>0</v>
      </c>
      <c r="K420" s="75">
        <v>0</v>
      </c>
      <c r="L420" s="87">
        <v>0</v>
      </c>
      <c r="M420" s="75">
        <v>0</v>
      </c>
      <c r="N420" s="87">
        <v>0</v>
      </c>
      <c r="O420" s="75">
        <v>0</v>
      </c>
      <c r="P420" s="268">
        <f>223115.13+204199.67</f>
        <v>427314.80000000005</v>
      </c>
      <c r="Q420" s="75">
        <v>0</v>
      </c>
      <c r="R420" s="75">
        <v>0</v>
      </c>
      <c r="S420" s="75">
        <v>0</v>
      </c>
      <c r="T420" s="75">
        <v>0</v>
      </c>
      <c r="U420" s="243"/>
      <c r="V420" s="243"/>
      <c r="W420" s="44"/>
      <c r="X420" s="44"/>
      <c r="Y420" s="44"/>
      <c r="Z420" s="44"/>
      <c r="AA420" s="44"/>
      <c r="AB420" s="44"/>
      <c r="AC420" s="44"/>
      <c r="AD420" s="44"/>
      <c r="AE420" s="44"/>
      <c r="AF420" s="44"/>
      <c r="AG420" s="44"/>
      <c r="AH420" s="44"/>
      <c r="AI420" s="44"/>
      <c r="AJ420" s="44"/>
      <c r="AK420" s="44"/>
      <c r="AL420" s="44"/>
      <c r="AM420" s="44"/>
    </row>
    <row r="421" spans="1:39" s="186" customFormat="1" ht="22.5" customHeight="1" x14ac:dyDescent="0.25">
      <c r="A421" s="25">
        <v>11</v>
      </c>
      <c r="B421" s="26" t="s">
        <v>530</v>
      </c>
      <c r="C421" s="75">
        <f t="shared" si="81"/>
        <v>384128.83</v>
      </c>
      <c r="D421" s="75">
        <f t="shared" si="82"/>
        <v>0</v>
      </c>
      <c r="E421" s="87">
        <v>0</v>
      </c>
      <c r="F421" s="87">
        <v>0</v>
      </c>
      <c r="G421" s="75">
        <v>0</v>
      </c>
      <c r="H421" s="87">
        <v>0</v>
      </c>
      <c r="I421" s="75">
        <v>0</v>
      </c>
      <c r="J421" s="152">
        <v>0</v>
      </c>
      <c r="K421" s="87">
        <v>0</v>
      </c>
      <c r="L421" s="98">
        <v>384128.83</v>
      </c>
      <c r="M421" s="42">
        <v>0</v>
      </c>
      <c r="N421" s="98">
        <v>0</v>
      </c>
      <c r="O421" s="75">
        <v>0</v>
      </c>
      <c r="P421" s="87">
        <v>0</v>
      </c>
      <c r="Q421" s="75">
        <v>0</v>
      </c>
      <c r="R421" s="75">
        <v>0</v>
      </c>
      <c r="S421" s="75">
        <v>0</v>
      </c>
      <c r="T421" s="75">
        <v>0</v>
      </c>
      <c r="U421" s="243"/>
      <c r="V421" s="243"/>
    </row>
    <row r="422" spans="1:39" s="186" customFormat="1" ht="22.5" customHeight="1" x14ac:dyDescent="0.25">
      <c r="A422" s="25">
        <v>12</v>
      </c>
      <c r="B422" s="26" t="s">
        <v>531</v>
      </c>
      <c r="C422" s="75">
        <f t="shared" si="81"/>
        <v>2583976.4300000002</v>
      </c>
      <c r="D422" s="75">
        <f t="shared" si="82"/>
        <v>2583976.4300000002</v>
      </c>
      <c r="E422" s="87">
        <v>1349926.8</v>
      </c>
      <c r="F422" s="75">
        <v>0</v>
      </c>
      <c r="G422" s="87">
        <v>917020.36</v>
      </c>
      <c r="H422" s="87">
        <v>317029.27</v>
      </c>
      <c r="I422" s="75">
        <v>0</v>
      </c>
      <c r="J422" s="152">
        <v>0</v>
      </c>
      <c r="K422" s="75">
        <v>0</v>
      </c>
      <c r="L422" s="87">
        <v>0</v>
      </c>
      <c r="M422" s="75">
        <v>0</v>
      </c>
      <c r="N422" s="87">
        <v>0</v>
      </c>
      <c r="O422" s="75">
        <v>0</v>
      </c>
      <c r="P422" s="87">
        <v>0</v>
      </c>
      <c r="Q422" s="75">
        <v>0</v>
      </c>
      <c r="R422" s="75">
        <v>0</v>
      </c>
      <c r="S422" s="75">
        <v>0</v>
      </c>
      <c r="T422" s="75">
        <v>0</v>
      </c>
      <c r="U422" s="243"/>
      <c r="V422" s="243"/>
    </row>
    <row r="423" spans="1:39" s="186" customFormat="1" ht="22.5" customHeight="1" x14ac:dyDescent="0.25">
      <c r="A423" s="25">
        <v>13</v>
      </c>
      <c r="B423" s="26" t="s">
        <v>1140</v>
      </c>
      <c r="C423" s="75">
        <f t="shared" si="81"/>
        <v>894586.58</v>
      </c>
      <c r="D423" s="75">
        <f t="shared" si="82"/>
        <v>0</v>
      </c>
      <c r="E423" s="75">
        <v>0</v>
      </c>
      <c r="F423" s="75">
        <v>0</v>
      </c>
      <c r="G423" s="75">
        <v>0</v>
      </c>
      <c r="H423" s="75">
        <v>0</v>
      </c>
      <c r="I423" s="87">
        <v>0</v>
      </c>
      <c r="J423" s="152">
        <v>0</v>
      </c>
      <c r="K423" s="75">
        <v>0</v>
      </c>
      <c r="L423" s="87">
        <v>0</v>
      </c>
      <c r="M423" s="75">
        <v>0</v>
      </c>
      <c r="N423" s="87">
        <v>0</v>
      </c>
      <c r="O423" s="75">
        <v>0</v>
      </c>
      <c r="P423" s="268">
        <f>292809.64+295164.07+306612.87</f>
        <v>894586.58</v>
      </c>
      <c r="Q423" s="75">
        <v>0</v>
      </c>
      <c r="R423" s="75">
        <v>0</v>
      </c>
      <c r="S423" s="75">
        <v>0</v>
      </c>
      <c r="T423" s="75">
        <v>0</v>
      </c>
      <c r="U423" s="243"/>
      <c r="V423" s="243"/>
      <c r="W423" s="44"/>
      <c r="X423" s="44"/>
      <c r="Y423" s="44"/>
      <c r="Z423" s="44"/>
      <c r="AA423" s="44"/>
      <c r="AB423" s="44"/>
      <c r="AC423" s="44"/>
      <c r="AD423" s="44"/>
      <c r="AE423" s="44"/>
      <c r="AF423" s="44"/>
      <c r="AG423" s="44"/>
      <c r="AH423" s="44"/>
      <c r="AI423" s="44"/>
      <c r="AJ423" s="44"/>
      <c r="AK423" s="44"/>
      <c r="AL423" s="44"/>
      <c r="AM423" s="44"/>
    </row>
    <row r="424" spans="1:39" s="186" customFormat="1" ht="22.5" customHeight="1" x14ac:dyDescent="0.25">
      <c r="A424" s="25">
        <v>14</v>
      </c>
      <c r="B424" s="26" t="s">
        <v>533</v>
      </c>
      <c r="C424" s="75">
        <f t="shared" si="81"/>
        <v>1807811.36</v>
      </c>
      <c r="D424" s="75">
        <f t="shared" si="82"/>
        <v>1807811.36</v>
      </c>
      <c r="E424" s="75">
        <v>0</v>
      </c>
      <c r="F424" s="75">
        <v>0</v>
      </c>
      <c r="G424" s="75">
        <v>0</v>
      </c>
      <c r="H424" s="75">
        <v>0</v>
      </c>
      <c r="I424" s="87">
        <v>1807811.36</v>
      </c>
      <c r="J424" s="152">
        <v>0</v>
      </c>
      <c r="K424" s="75">
        <v>0</v>
      </c>
      <c r="L424" s="87">
        <v>0</v>
      </c>
      <c r="M424" s="75">
        <v>0</v>
      </c>
      <c r="N424" s="87">
        <v>0</v>
      </c>
      <c r="O424" s="75">
        <v>0</v>
      </c>
      <c r="P424" s="87">
        <v>0</v>
      </c>
      <c r="Q424" s="75">
        <v>0</v>
      </c>
      <c r="R424" s="75">
        <v>0</v>
      </c>
      <c r="S424" s="75">
        <v>0</v>
      </c>
      <c r="T424" s="75">
        <v>0</v>
      </c>
      <c r="U424" s="243"/>
      <c r="V424" s="243"/>
      <c r="W424" s="44"/>
      <c r="X424" s="44"/>
      <c r="Y424" s="44"/>
      <c r="Z424" s="44"/>
      <c r="AA424" s="44"/>
      <c r="AB424" s="44"/>
      <c r="AC424" s="44"/>
      <c r="AD424" s="44"/>
      <c r="AE424" s="44"/>
      <c r="AF424" s="44"/>
      <c r="AG424" s="44"/>
      <c r="AH424" s="44"/>
      <c r="AI424" s="44"/>
      <c r="AJ424" s="44"/>
      <c r="AK424" s="44"/>
      <c r="AL424" s="44"/>
      <c r="AM424" s="44"/>
    </row>
    <row r="425" spans="1:39" s="186" customFormat="1" ht="22.5" customHeight="1" x14ac:dyDescent="0.25">
      <c r="A425" s="25">
        <v>15</v>
      </c>
      <c r="B425" s="26" t="s">
        <v>1141</v>
      </c>
      <c r="C425" s="75">
        <f t="shared" si="81"/>
        <v>299069.94</v>
      </c>
      <c r="D425" s="75">
        <f t="shared" si="82"/>
        <v>0</v>
      </c>
      <c r="E425" s="75">
        <v>0</v>
      </c>
      <c r="F425" s="75">
        <v>0</v>
      </c>
      <c r="G425" s="75">
        <v>0</v>
      </c>
      <c r="H425" s="75">
        <v>0</v>
      </c>
      <c r="I425" s="87">
        <v>0</v>
      </c>
      <c r="J425" s="152">
        <v>0</v>
      </c>
      <c r="K425" s="75">
        <v>0</v>
      </c>
      <c r="L425" s="87">
        <v>0</v>
      </c>
      <c r="M425" s="75">
        <v>0</v>
      </c>
      <c r="N425" s="87">
        <v>0</v>
      </c>
      <c r="O425" s="75">
        <v>0</v>
      </c>
      <c r="P425" s="268">
        <v>299069.94</v>
      </c>
      <c r="Q425" s="75">
        <v>0</v>
      </c>
      <c r="R425" s="75">
        <v>0</v>
      </c>
      <c r="S425" s="75">
        <v>0</v>
      </c>
      <c r="T425" s="75">
        <v>0</v>
      </c>
      <c r="U425" s="243"/>
      <c r="V425" s="243"/>
      <c r="W425" s="44"/>
      <c r="X425" s="44"/>
      <c r="Y425" s="44"/>
      <c r="Z425" s="44"/>
      <c r="AA425" s="44"/>
      <c r="AB425" s="44"/>
      <c r="AC425" s="44"/>
      <c r="AD425" s="44"/>
      <c r="AE425" s="44"/>
      <c r="AF425" s="44"/>
      <c r="AG425" s="44"/>
      <c r="AH425" s="44"/>
      <c r="AI425" s="44"/>
      <c r="AJ425" s="44"/>
      <c r="AK425" s="44"/>
      <c r="AL425" s="44"/>
      <c r="AM425" s="44"/>
    </row>
    <row r="426" spans="1:39" s="186" customFormat="1" ht="22.5" customHeight="1" x14ac:dyDescent="0.25">
      <c r="A426" s="25">
        <v>16</v>
      </c>
      <c r="B426" s="26" t="s">
        <v>535</v>
      </c>
      <c r="C426" s="75">
        <f t="shared" si="81"/>
        <v>226241.98</v>
      </c>
      <c r="D426" s="75">
        <f t="shared" si="82"/>
        <v>226241.98</v>
      </c>
      <c r="E426" s="87">
        <v>0</v>
      </c>
      <c r="F426" s="87">
        <v>0</v>
      </c>
      <c r="G426" s="75">
        <v>0</v>
      </c>
      <c r="H426" s="87">
        <v>226241.98</v>
      </c>
      <c r="I426" s="87">
        <v>0</v>
      </c>
      <c r="J426" s="152">
        <v>0</v>
      </c>
      <c r="K426" s="75">
        <v>0</v>
      </c>
      <c r="L426" s="75">
        <v>0</v>
      </c>
      <c r="M426" s="75">
        <v>0</v>
      </c>
      <c r="N426" s="87">
        <v>0</v>
      </c>
      <c r="O426" s="75">
        <v>0</v>
      </c>
      <c r="P426" s="87">
        <v>0</v>
      </c>
      <c r="Q426" s="75">
        <v>0</v>
      </c>
      <c r="R426" s="75">
        <v>0</v>
      </c>
      <c r="S426" s="75">
        <v>0</v>
      </c>
      <c r="T426" s="75">
        <v>0</v>
      </c>
      <c r="U426" s="243"/>
      <c r="V426" s="243"/>
      <c r="W426" s="40"/>
      <c r="X426" s="40"/>
      <c r="Y426" s="40"/>
      <c r="Z426" s="40"/>
      <c r="AA426" s="40"/>
      <c r="AB426" s="40"/>
      <c r="AC426" s="40"/>
      <c r="AD426" s="40"/>
      <c r="AE426" s="40"/>
      <c r="AF426" s="40"/>
      <c r="AG426" s="40"/>
      <c r="AH426" s="40"/>
      <c r="AI426" s="40"/>
    </row>
    <row r="427" spans="1:39" s="186" customFormat="1" ht="22.5" customHeight="1" x14ac:dyDescent="0.25">
      <c r="A427" s="25">
        <v>17</v>
      </c>
      <c r="B427" s="26" t="s">
        <v>536</v>
      </c>
      <c r="C427" s="75">
        <f t="shared" si="81"/>
        <v>226450.8</v>
      </c>
      <c r="D427" s="75">
        <f t="shared" si="82"/>
        <v>226450.8</v>
      </c>
      <c r="E427" s="87">
        <v>0</v>
      </c>
      <c r="F427" s="87">
        <v>0</v>
      </c>
      <c r="G427" s="75">
        <v>0</v>
      </c>
      <c r="H427" s="87">
        <v>0</v>
      </c>
      <c r="I427" s="75">
        <v>226450.8</v>
      </c>
      <c r="J427" s="152">
        <v>0</v>
      </c>
      <c r="K427" s="87">
        <v>0</v>
      </c>
      <c r="L427" s="87">
        <v>0</v>
      </c>
      <c r="M427" s="75">
        <v>0</v>
      </c>
      <c r="N427" s="87">
        <v>0</v>
      </c>
      <c r="O427" s="75">
        <v>0</v>
      </c>
      <c r="P427" s="87">
        <v>0</v>
      </c>
      <c r="Q427" s="75">
        <v>0</v>
      </c>
      <c r="R427" s="75">
        <v>0</v>
      </c>
      <c r="S427" s="75">
        <v>0</v>
      </c>
      <c r="T427" s="75">
        <v>0</v>
      </c>
      <c r="U427" s="243"/>
      <c r="V427" s="243"/>
    </row>
    <row r="428" spans="1:39" s="186" customFormat="1" ht="33" customHeight="1" x14ac:dyDescent="0.25">
      <c r="A428" s="326" t="s">
        <v>537</v>
      </c>
      <c r="B428" s="326"/>
      <c r="C428" s="118">
        <f t="shared" ref="C428:T428" si="83">SUM(C429:C445)</f>
        <v>39254210.200000003</v>
      </c>
      <c r="D428" s="118">
        <f t="shared" si="83"/>
        <v>17457734.270000003</v>
      </c>
      <c r="E428" s="118">
        <f t="shared" si="83"/>
        <v>5289256.8100000005</v>
      </c>
      <c r="F428" s="118">
        <f t="shared" si="83"/>
        <v>9334953.0600000005</v>
      </c>
      <c r="G428" s="118">
        <f t="shared" si="83"/>
        <v>588098.24</v>
      </c>
      <c r="H428" s="118">
        <f t="shared" si="83"/>
        <v>899374.83</v>
      </c>
      <c r="I428" s="118">
        <f t="shared" si="83"/>
        <v>1346051.33</v>
      </c>
      <c r="J428" s="119">
        <f t="shared" si="83"/>
        <v>0</v>
      </c>
      <c r="K428" s="118">
        <f t="shared" si="83"/>
        <v>0</v>
      </c>
      <c r="L428" s="118">
        <f t="shared" si="83"/>
        <v>20115540.93</v>
      </c>
      <c r="M428" s="118">
        <f t="shared" si="83"/>
        <v>0</v>
      </c>
      <c r="N428" s="118">
        <f t="shared" si="83"/>
        <v>0</v>
      </c>
      <c r="O428" s="118">
        <f t="shared" si="83"/>
        <v>0</v>
      </c>
      <c r="P428" s="118">
        <f t="shared" si="83"/>
        <v>1680935</v>
      </c>
      <c r="Q428" s="118">
        <f t="shared" si="83"/>
        <v>0</v>
      </c>
      <c r="R428" s="118">
        <f t="shared" si="83"/>
        <v>0</v>
      </c>
      <c r="S428" s="118">
        <f t="shared" si="83"/>
        <v>0</v>
      </c>
      <c r="T428" s="118">
        <f t="shared" si="83"/>
        <v>0</v>
      </c>
      <c r="U428" s="238"/>
      <c r="V428" s="238"/>
    </row>
    <row r="429" spans="1:39" s="186" customFormat="1" ht="24.75" customHeight="1" x14ac:dyDescent="0.25">
      <c r="A429" s="25">
        <v>1</v>
      </c>
      <c r="B429" s="26" t="s">
        <v>1142</v>
      </c>
      <c r="C429" s="75">
        <f t="shared" ref="C429:C445" si="84">D429+K429+L429+M429+N429+O429+P429+Q429+R429+S429+T429</f>
        <v>319381.69</v>
      </c>
      <c r="D429" s="75">
        <f t="shared" ref="D429:D445" si="85">SUM(E429:I429)</f>
        <v>0</v>
      </c>
      <c r="E429" s="75">
        <v>0</v>
      </c>
      <c r="F429" s="75">
        <v>0</v>
      </c>
      <c r="G429" s="75">
        <v>0</v>
      </c>
      <c r="H429" s="75">
        <v>0</v>
      </c>
      <c r="I429" s="75">
        <v>0</v>
      </c>
      <c r="J429" s="152">
        <v>0</v>
      </c>
      <c r="K429" s="75">
        <v>0</v>
      </c>
      <c r="L429" s="75">
        <v>0</v>
      </c>
      <c r="M429" s="75">
        <v>0</v>
      </c>
      <c r="N429" s="75">
        <v>0</v>
      </c>
      <c r="O429" s="75">
        <v>0</v>
      </c>
      <c r="P429" s="75">
        <v>319381.69</v>
      </c>
      <c r="Q429" s="75">
        <v>0</v>
      </c>
      <c r="R429" s="75">
        <v>0</v>
      </c>
      <c r="S429" s="75">
        <v>0</v>
      </c>
      <c r="T429" s="75">
        <v>0</v>
      </c>
      <c r="U429" s="243"/>
      <c r="V429" s="243"/>
      <c r="W429" s="44"/>
      <c r="X429" s="44"/>
      <c r="Y429" s="44"/>
      <c r="Z429" s="44"/>
      <c r="AA429" s="44"/>
      <c r="AB429" s="44"/>
      <c r="AC429" s="44"/>
      <c r="AD429" s="44"/>
      <c r="AE429" s="44"/>
      <c r="AF429" s="44"/>
      <c r="AG429" s="44"/>
      <c r="AH429" s="44"/>
      <c r="AI429" s="44"/>
      <c r="AJ429" s="44"/>
      <c r="AK429" s="44"/>
      <c r="AL429" s="44"/>
      <c r="AM429" s="44"/>
    </row>
    <row r="430" spans="1:39" s="186" customFormat="1" ht="22.5" customHeight="1" x14ac:dyDescent="0.25">
      <c r="A430" s="25">
        <v>2</v>
      </c>
      <c r="B430" s="26" t="s">
        <v>539</v>
      </c>
      <c r="C430" s="75">
        <f t="shared" si="84"/>
        <v>7227724.3499999996</v>
      </c>
      <c r="D430" s="75">
        <f t="shared" si="85"/>
        <v>0</v>
      </c>
      <c r="E430" s="75">
        <v>0</v>
      </c>
      <c r="F430" s="75">
        <v>0</v>
      </c>
      <c r="G430" s="75">
        <v>0</v>
      </c>
      <c r="H430" s="75">
        <v>0</v>
      </c>
      <c r="I430" s="75">
        <v>0</v>
      </c>
      <c r="J430" s="152">
        <v>0</v>
      </c>
      <c r="K430" s="75">
        <v>0</v>
      </c>
      <c r="L430" s="75">
        <v>7227724.3499999996</v>
      </c>
      <c r="M430" s="75">
        <v>0</v>
      </c>
      <c r="N430" s="75">
        <v>0</v>
      </c>
      <c r="O430" s="75">
        <v>0</v>
      </c>
      <c r="P430" s="75">
        <v>0</v>
      </c>
      <c r="Q430" s="75">
        <v>0</v>
      </c>
      <c r="R430" s="75">
        <v>0</v>
      </c>
      <c r="S430" s="75">
        <v>0</v>
      </c>
      <c r="T430" s="75">
        <v>0</v>
      </c>
      <c r="U430" s="243"/>
      <c r="V430" s="243"/>
    </row>
    <row r="431" spans="1:39" s="186" customFormat="1" ht="22.5" customHeight="1" x14ac:dyDescent="0.25">
      <c r="A431" s="25">
        <v>3</v>
      </c>
      <c r="B431" s="34" t="s">
        <v>1143</v>
      </c>
      <c r="C431" s="75">
        <f t="shared" si="84"/>
        <v>4717353.0100000007</v>
      </c>
      <c r="D431" s="75">
        <f t="shared" si="85"/>
        <v>4514377.6500000004</v>
      </c>
      <c r="E431" s="75">
        <v>1284225.47</v>
      </c>
      <c r="F431" s="75">
        <v>2460590.4</v>
      </c>
      <c r="G431" s="75">
        <v>0</v>
      </c>
      <c r="H431" s="75">
        <v>285691.21000000002</v>
      </c>
      <c r="I431" s="75">
        <v>483870.57</v>
      </c>
      <c r="J431" s="152">
        <v>0</v>
      </c>
      <c r="K431" s="75">
        <v>0</v>
      </c>
      <c r="L431" s="75">
        <v>0</v>
      </c>
      <c r="M431" s="75">
        <v>0</v>
      </c>
      <c r="N431" s="75">
        <v>0</v>
      </c>
      <c r="O431" s="75">
        <v>0</v>
      </c>
      <c r="P431" s="75">
        <v>202975.35999999999</v>
      </c>
      <c r="Q431" s="75">
        <v>0</v>
      </c>
      <c r="R431" s="75">
        <v>0</v>
      </c>
      <c r="S431" s="75">
        <v>0</v>
      </c>
      <c r="T431" s="75">
        <v>0</v>
      </c>
      <c r="U431" s="243"/>
      <c r="V431" s="243"/>
    </row>
    <row r="432" spans="1:39" s="186" customFormat="1" ht="22.5" customHeight="1" x14ac:dyDescent="0.25">
      <c r="A432" s="25">
        <v>4</v>
      </c>
      <c r="B432" s="26" t="s">
        <v>1144</v>
      </c>
      <c r="C432" s="75">
        <f t="shared" si="84"/>
        <v>932172.74</v>
      </c>
      <c r="D432" s="75">
        <f t="shared" si="85"/>
        <v>670241.43999999994</v>
      </c>
      <c r="E432" s="75">
        <v>670241.43999999994</v>
      </c>
      <c r="F432" s="75">
        <v>0</v>
      </c>
      <c r="G432" s="75">
        <v>0</v>
      </c>
      <c r="H432" s="75">
        <v>0</v>
      </c>
      <c r="I432" s="75">
        <v>0</v>
      </c>
      <c r="J432" s="152">
        <v>0</v>
      </c>
      <c r="K432" s="75">
        <v>0</v>
      </c>
      <c r="L432" s="75">
        <v>0</v>
      </c>
      <c r="M432" s="75">
        <v>0</v>
      </c>
      <c r="N432" s="75">
        <v>0</v>
      </c>
      <c r="O432" s="75">
        <v>0</v>
      </c>
      <c r="P432" s="75">
        <v>261931.3</v>
      </c>
      <c r="Q432" s="75">
        <v>0</v>
      </c>
      <c r="R432" s="42">
        <v>0</v>
      </c>
      <c r="S432" s="75">
        <v>0</v>
      </c>
      <c r="T432" s="75">
        <v>0</v>
      </c>
      <c r="U432" s="243"/>
      <c r="V432" s="243"/>
      <c r="W432" s="40"/>
      <c r="X432" s="40"/>
      <c r="Y432" s="40"/>
      <c r="Z432" s="40"/>
      <c r="AA432" s="40"/>
      <c r="AB432" s="40"/>
      <c r="AC432" s="40"/>
      <c r="AD432" s="40"/>
      <c r="AE432" s="40"/>
      <c r="AF432" s="40"/>
      <c r="AG432" s="40"/>
      <c r="AH432" s="40"/>
      <c r="AI432" s="40"/>
    </row>
    <row r="433" spans="1:42" s="186" customFormat="1" ht="22.5" customHeight="1" x14ac:dyDescent="0.25">
      <c r="A433" s="25">
        <v>5</v>
      </c>
      <c r="B433" s="26" t="s">
        <v>542</v>
      </c>
      <c r="C433" s="75">
        <f t="shared" si="84"/>
        <v>236885.4</v>
      </c>
      <c r="D433" s="75">
        <f t="shared" si="85"/>
        <v>236885.4</v>
      </c>
      <c r="E433" s="75">
        <v>236885.4</v>
      </c>
      <c r="F433" s="75">
        <v>0</v>
      </c>
      <c r="G433" s="75">
        <v>0</v>
      </c>
      <c r="H433" s="75">
        <v>0</v>
      </c>
      <c r="I433" s="75">
        <v>0</v>
      </c>
      <c r="J433" s="152">
        <v>0</v>
      </c>
      <c r="K433" s="75">
        <v>0</v>
      </c>
      <c r="L433" s="75">
        <v>0</v>
      </c>
      <c r="M433" s="75">
        <v>0</v>
      </c>
      <c r="N433" s="75">
        <v>0</v>
      </c>
      <c r="O433" s="75">
        <v>0</v>
      </c>
      <c r="P433" s="75">
        <v>0</v>
      </c>
      <c r="Q433" s="75">
        <v>0</v>
      </c>
      <c r="R433" s="42">
        <v>0</v>
      </c>
      <c r="S433" s="75">
        <v>0</v>
      </c>
      <c r="T433" s="75">
        <v>0</v>
      </c>
      <c r="U433" s="243"/>
      <c r="V433" s="243"/>
    </row>
    <row r="434" spans="1:42" s="186" customFormat="1" ht="22.5" customHeight="1" x14ac:dyDescent="0.25">
      <c r="A434" s="25">
        <v>6</v>
      </c>
      <c r="B434" s="26" t="s">
        <v>544</v>
      </c>
      <c r="C434" s="75">
        <f t="shared" si="84"/>
        <v>236885.4</v>
      </c>
      <c r="D434" s="75">
        <f t="shared" si="85"/>
        <v>236885.4</v>
      </c>
      <c r="E434" s="75">
        <v>236885.4</v>
      </c>
      <c r="F434" s="75">
        <v>0</v>
      </c>
      <c r="G434" s="75">
        <v>0</v>
      </c>
      <c r="H434" s="75">
        <v>0</v>
      </c>
      <c r="I434" s="75">
        <v>0</v>
      </c>
      <c r="J434" s="152">
        <v>0</v>
      </c>
      <c r="K434" s="75">
        <v>0</v>
      </c>
      <c r="L434" s="75">
        <v>0</v>
      </c>
      <c r="M434" s="75">
        <v>0</v>
      </c>
      <c r="N434" s="75">
        <v>0</v>
      </c>
      <c r="O434" s="75">
        <v>0</v>
      </c>
      <c r="P434" s="75">
        <v>0</v>
      </c>
      <c r="Q434" s="75">
        <v>0</v>
      </c>
      <c r="R434" s="42">
        <v>0</v>
      </c>
      <c r="S434" s="75">
        <v>0</v>
      </c>
      <c r="T434" s="75">
        <v>0</v>
      </c>
      <c r="U434" s="243"/>
      <c r="V434" s="243"/>
      <c r="W434" s="40"/>
      <c r="X434" s="40"/>
      <c r="Y434" s="40"/>
    </row>
    <row r="435" spans="1:42" s="186" customFormat="1" ht="22.5" customHeight="1" x14ac:dyDescent="0.25">
      <c r="A435" s="25">
        <v>7</v>
      </c>
      <c r="B435" s="26" t="s">
        <v>1145</v>
      </c>
      <c r="C435" s="75">
        <f t="shared" si="84"/>
        <v>3809686.54</v>
      </c>
      <c r="D435" s="75">
        <f t="shared" si="85"/>
        <v>0</v>
      </c>
      <c r="E435" s="75">
        <v>0</v>
      </c>
      <c r="F435" s="75">
        <v>0</v>
      </c>
      <c r="G435" s="75">
        <v>0</v>
      </c>
      <c r="H435" s="75">
        <v>0</v>
      </c>
      <c r="I435" s="75">
        <v>0</v>
      </c>
      <c r="J435" s="152">
        <v>0</v>
      </c>
      <c r="K435" s="75">
        <v>0</v>
      </c>
      <c r="L435" s="75">
        <v>3633057.72</v>
      </c>
      <c r="M435" s="75">
        <v>0</v>
      </c>
      <c r="N435" s="75">
        <v>0</v>
      </c>
      <c r="O435" s="75">
        <v>0</v>
      </c>
      <c r="P435" s="75">
        <v>176628.82</v>
      </c>
      <c r="Q435" s="75">
        <v>0</v>
      </c>
      <c r="R435" s="75">
        <v>0</v>
      </c>
      <c r="S435" s="75">
        <v>0</v>
      </c>
      <c r="T435" s="75">
        <v>0</v>
      </c>
      <c r="U435" s="243"/>
      <c r="V435" s="243"/>
    </row>
    <row r="436" spans="1:42" s="186" customFormat="1" ht="22.5" customHeight="1" x14ac:dyDescent="0.25">
      <c r="A436" s="25">
        <v>8</v>
      </c>
      <c r="B436" s="26" t="s">
        <v>546</v>
      </c>
      <c r="C436" s="75">
        <f t="shared" si="84"/>
        <v>682512.33</v>
      </c>
      <c r="D436" s="75">
        <f t="shared" si="85"/>
        <v>682512.33</v>
      </c>
      <c r="E436" s="75">
        <v>682512.33</v>
      </c>
      <c r="F436" s="75">
        <v>0</v>
      </c>
      <c r="G436" s="75">
        <v>0</v>
      </c>
      <c r="H436" s="75">
        <v>0</v>
      </c>
      <c r="I436" s="75">
        <v>0</v>
      </c>
      <c r="J436" s="152">
        <v>0</v>
      </c>
      <c r="K436" s="75">
        <v>0</v>
      </c>
      <c r="L436" s="75">
        <v>0</v>
      </c>
      <c r="M436" s="75">
        <v>0</v>
      </c>
      <c r="N436" s="75">
        <v>0</v>
      </c>
      <c r="O436" s="75">
        <v>0</v>
      </c>
      <c r="P436" s="75">
        <v>0</v>
      </c>
      <c r="Q436" s="75">
        <v>0</v>
      </c>
      <c r="R436" s="42">
        <v>0</v>
      </c>
      <c r="S436" s="75">
        <v>0</v>
      </c>
      <c r="T436" s="75">
        <v>0</v>
      </c>
      <c r="U436" s="243"/>
      <c r="V436" s="243"/>
      <c r="W436" s="40"/>
      <c r="X436" s="40"/>
      <c r="Y436" s="40"/>
      <c r="Z436" s="40"/>
      <c r="AA436" s="40"/>
      <c r="AB436" s="40"/>
      <c r="AC436" s="40"/>
      <c r="AD436" s="40"/>
      <c r="AE436" s="40"/>
      <c r="AF436" s="40"/>
      <c r="AG436" s="40"/>
      <c r="AH436" s="40"/>
      <c r="AI436" s="40"/>
    </row>
    <row r="437" spans="1:42" s="186" customFormat="1" ht="22.5" customHeight="1" x14ac:dyDescent="0.25">
      <c r="A437" s="25">
        <v>9</v>
      </c>
      <c r="B437" s="26" t="s">
        <v>547</v>
      </c>
      <c r="C437" s="75">
        <f t="shared" si="84"/>
        <v>1987446.8000000003</v>
      </c>
      <c r="D437" s="75">
        <f t="shared" si="85"/>
        <v>1987446.8000000003</v>
      </c>
      <c r="E437" s="75">
        <v>245277.6</v>
      </c>
      <c r="F437" s="75">
        <v>1171744.8</v>
      </c>
      <c r="G437" s="75">
        <v>85895.6</v>
      </c>
      <c r="H437" s="75">
        <v>202699.2</v>
      </c>
      <c r="I437" s="75">
        <v>281829.59999999998</v>
      </c>
      <c r="J437" s="152">
        <v>0</v>
      </c>
      <c r="K437" s="75">
        <v>0</v>
      </c>
      <c r="L437" s="75">
        <v>0</v>
      </c>
      <c r="M437" s="75">
        <v>0</v>
      </c>
      <c r="N437" s="75">
        <v>0</v>
      </c>
      <c r="O437" s="75">
        <v>0</v>
      </c>
      <c r="P437" s="75">
        <v>0</v>
      </c>
      <c r="Q437" s="75">
        <v>0</v>
      </c>
      <c r="R437" s="75">
        <v>0</v>
      </c>
      <c r="S437" s="75">
        <v>0</v>
      </c>
      <c r="T437" s="75">
        <v>0</v>
      </c>
      <c r="U437" s="243"/>
      <c r="V437" s="243"/>
    </row>
    <row r="438" spans="1:42" s="186" customFormat="1" ht="22.5" customHeight="1" x14ac:dyDescent="0.25">
      <c r="A438" s="25">
        <v>10</v>
      </c>
      <c r="B438" s="26" t="s">
        <v>548</v>
      </c>
      <c r="C438" s="75">
        <f t="shared" si="84"/>
        <v>3816224.92</v>
      </c>
      <c r="D438" s="75">
        <f t="shared" si="85"/>
        <v>3816224.92</v>
      </c>
      <c r="E438" s="75">
        <v>0</v>
      </c>
      <c r="F438" s="75">
        <v>3489440.12</v>
      </c>
      <c r="G438" s="75">
        <v>326784.8</v>
      </c>
      <c r="H438" s="75">
        <v>0</v>
      </c>
      <c r="I438" s="75">
        <v>0</v>
      </c>
      <c r="J438" s="152">
        <v>0</v>
      </c>
      <c r="K438" s="75">
        <v>0</v>
      </c>
      <c r="L438" s="75">
        <v>0</v>
      </c>
      <c r="M438" s="75">
        <v>0</v>
      </c>
      <c r="N438" s="75">
        <v>0</v>
      </c>
      <c r="O438" s="75">
        <v>0</v>
      </c>
      <c r="P438" s="75">
        <v>0</v>
      </c>
      <c r="Q438" s="75">
        <v>0</v>
      </c>
      <c r="R438" s="75">
        <v>0</v>
      </c>
      <c r="S438" s="75">
        <v>0</v>
      </c>
      <c r="T438" s="75">
        <v>0</v>
      </c>
      <c r="U438" s="243"/>
      <c r="V438" s="243"/>
    </row>
    <row r="439" spans="1:42" s="186" customFormat="1" ht="22.5" customHeight="1" x14ac:dyDescent="0.25">
      <c r="A439" s="25">
        <v>11</v>
      </c>
      <c r="B439" s="26" t="s">
        <v>549</v>
      </c>
      <c r="C439" s="75">
        <f t="shared" si="84"/>
        <v>1926850.98</v>
      </c>
      <c r="D439" s="75">
        <f t="shared" si="85"/>
        <v>1926850.98</v>
      </c>
      <c r="E439" s="75">
        <v>236885.4</v>
      </c>
      <c r="F439" s="75">
        <v>1106588.8700000001</v>
      </c>
      <c r="G439" s="75">
        <v>87708.92</v>
      </c>
      <c r="H439" s="75">
        <v>205492.21</v>
      </c>
      <c r="I439" s="75">
        <v>290175.58</v>
      </c>
      <c r="J439" s="152">
        <v>0</v>
      </c>
      <c r="K439" s="75">
        <v>0</v>
      </c>
      <c r="L439" s="75">
        <v>0</v>
      </c>
      <c r="M439" s="75">
        <v>0</v>
      </c>
      <c r="N439" s="75">
        <v>0</v>
      </c>
      <c r="O439" s="75">
        <v>0</v>
      </c>
      <c r="P439" s="75">
        <v>0</v>
      </c>
      <c r="Q439" s="75">
        <v>0</v>
      </c>
      <c r="R439" s="42">
        <v>0</v>
      </c>
      <c r="S439" s="75">
        <v>0</v>
      </c>
      <c r="T439" s="75">
        <v>0</v>
      </c>
      <c r="U439" s="243"/>
      <c r="V439" s="243"/>
    </row>
    <row r="440" spans="1:42" s="186" customFormat="1" ht="22.5" customHeight="1" x14ac:dyDescent="0.25">
      <c r="A440" s="25">
        <v>12</v>
      </c>
      <c r="B440" s="26" t="s">
        <v>550</v>
      </c>
      <c r="C440" s="75">
        <f t="shared" si="84"/>
        <v>1926850.98</v>
      </c>
      <c r="D440" s="75">
        <f t="shared" si="85"/>
        <v>1926850.98</v>
      </c>
      <c r="E440" s="75">
        <v>236885.4</v>
      </c>
      <c r="F440" s="75">
        <v>1106588.8700000001</v>
      </c>
      <c r="G440" s="75">
        <v>87708.92</v>
      </c>
      <c r="H440" s="75">
        <v>205492.21</v>
      </c>
      <c r="I440" s="75">
        <v>290175.58</v>
      </c>
      <c r="J440" s="152">
        <v>0</v>
      </c>
      <c r="K440" s="75">
        <v>0</v>
      </c>
      <c r="L440" s="75">
        <v>0</v>
      </c>
      <c r="M440" s="75">
        <v>0</v>
      </c>
      <c r="N440" s="75">
        <v>0</v>
      </c>
      <c r="O440" s="75">
        <v>0</v>
      </c>
      <c r="P440" s="75">
        <v>0</v>
      </c>
      <c r="Q440" s="75">
        <v>0</v>
      </c>
      <c r="R440" s="42">
        <v>0</v>
      </c>
      <c r="S440" s="75">
        <v>0</v>
      </c>
      <c r="T440" s="75">
        <v>0</v>
      </c>
      <c r="U440" s="243"/>
      <c r="V440" s="243"/>
    </row>
    <row r="441" spans="1:42" s="186" customFormat="1" ht="22.5" customHeight="1" x14ac:dyDescent="0.25">
      <c r="A441" s="25">
        <v>13</v>
      </c>
      <c r="B441" s="26" t="s">
        <v>1146</v>
      </c>
      <c r="C441" s="75">
        <f t="shared" si="84"/>
        <v>288915.08</v>
      </c>
      <c r="D441" s="75">
        <f t="shared" si="85"/>
        <v>0</v>
      </c>
      <c r="E441" s="75">
        <v>0</v>
      </c>
      <c r="F441" s="75">
        <v>0</v>
      </c>
      <c r="G441" s="75">
        <v>0</v>
      </c>
      <c r="H441" s="75">
        <v>0</v>
      </c>
      <c r="I441" s="75">
        <v>0</v>
      </c>
      <c r="J441" s="152">
        <v>0</v>
      </c>
      <c r="K441" s="75">
        <v>0</v>
      </c>
      <c r="L441" s="75">
        <v>0</v>
      </c>
      <c r="M441" s="75">
        <v>0</v>
      </c>
      <c r="N441" s="75">
        <v>0</v>
      </c>
      <c r="O441" s="75">
        <v>0</v>
      </c>
      <c r="P441" s="75">
        <v>288915.08</v>
      </c>
      <c r="Q441" s="75">
        <v>0</v>
      </c>
      <c r="R441" s="42">
        <v>0</v>
      </c>
      <c r="S441" s="75">
        <v>0</v>
      </c>
      <c r="T441" s="75">
        <v>0</v>
      </c>
      <c r="U441" s="243"/>
      <c r="V441" s="243"/>
      <c r="W441" s="44"/>
      <c r="X441" s="44"/>
      <c r="Y441" s="44"/>
      <c r="Z441" s="44"/>
      <c r="AA441" s="44"/>
      <c r="AB441" s="44"/>
      <c r="AC441" s="44"/>
      <c r="AD441" s="44"/>
      <c r="AE441" s="44"/>
      <c r="AF441" s="44"/>
      <c r="AG441" s="44"/>
      <c r="AH441" s="44"/>
      <c r="AI441" s="44"/>
      <c r="AJ441" s="44"/>
      <c r="AK441" s="44"/>
      <c r="AL441" s="44"/>
      <c r="AM441" s="44"/>
      <c r="AN441" s="44"/>
      <c r="AO441" s="44"/>
      <c r="AP441" s="44"/>
    </row>
    <row r="442" spans="1:42" s="186" customFormat="1" ht="22.5" customHeight="1" x14ac:dyDescent="0.25">
      <c r="A442" s="25">
        <v>14</v>
      </c>
      <c r="B442" s="26" t="s">
        <v>1147</v>
      </c>
      <c r="C442" s="75">
        <f t="shared" si="84"/>
        <v>9563903.4399999995</v>
      </c>
      <c r="D442" s="75">
        <f t="shared" si="85"/>
        <v>0</v>
      </c>
      <c r="E442" s="75">
        <v>0</v>
      </c>
      <c r="F442" s="75">
        <v>0</v>
      </c>
      <c r="G442" s="75">
        <v>0</v>
      </c>
      <c r="H442" s="75">
        <v>0</v>
      </c>
      <c r="I442" s="75">
        <v>0</v>
      </c>
      <c r="J442" s="152">
        <v>0</v>
      </c>
      <c r="K442" s="75">
        <v>0</v>
      </c>
      <c r="L442" s="75">
        <v>9254758.8599999994</v>
      </c>
      <c r="M442" s="75">
        <v>0</v>
      </c>
      <c r="N442" s="75">
        <v>0</v>
      </c>
      <c r="O442" s="75">
        <v>0</v>
      </c>
      <c r="P442" s="75">
        <v>309144.58</v>
      </c>
      <c r="Q442" s="75">
        <v>0</v>
      </c>
      <c r="R442" s="75">
        <v>0</v>
      </c>
      <c r="S442" s="75">
        <v>0</v>
      </c>
      <c r="T442" s="75">
        <v>0</v>
      </c>
      <c r="U442" s="243"/>
      <c r="V442" s="243"/>
    </row>
    <row r="443" spans="1:42" s="186" customFormat="1" ht="22.5" customHeight="1" x14ac:dyDescent="0.25">
      <c r="A443" s="25">
        <v>15</v>
      </c>
      <c r="B443" s="26" t="s">
        <v>554</v>
      </c>
      <c r="C443" s="75">
        <f t="shared" si="84"/>
        <v>494917.35</v>
      </c>
      <c r="D443" s="75">
        <f t="shared" si="85"/>
        <v>494917.35</v>
      </c>
      <c r="E443" s="75">
        <v>494917.35</v>
      </c>
      <c r="F443" s="75">
        <v>0</v>
      </c>
      <c r="G443" s="75">
        <v>0</v>
      </c>
      <c r="H443" s="75">
        <v>0</v>
      </c>
      <c r="I443" s="75">
        <v>0</v>
      </c>
      <c r="J443" s="152">
        <v>0</v>
      </c>
      <c r="K443" s="75">
        <v>0</v>
      </c>
      <c r="L443" s="75">
        <v>0</v>
      </c>
      <c r="M443" s="75">
        <v>0</v>
      </c>
      <c r="N443" s="75">
        <v>0</v>
      </c>
      <c r="O443" s="75">
        <v>0</v>
      </c>
      <c r="P443" s="75">
        <v>0</v>
      </c>
      <c r="Q443" s="75">
        <v>0</v>
      </c>
      <c r="R443" s="42">
        <v>0</v>
      </c>
      <c r="S443" s="75">
        <v>0</v>
      </c>
      <c r="T443" s="75">
        <v>0</v>
      </c>
      <c r="U443" s="243"/>
      <c r="V443" s="243"/>
    </row>
    <row r="444" spans="1:42" s="186" customFormat="1" ht="22.5" customHeight="1" x14ac:dyDescent="0.25">
      <c r="A444" s="25">
        <v>16</v>
      </c>
      <c r="B444" s="26" t="s">
        <v>555</v>
      </c>
      <c r="C444" s="75">
        <f t="shared" si="84"/>
        <v>495769.45</v>
      </c>
      <c r="D444" s="75">
        <f t="shared" si="85"/>
        <v>495769.45</v>
      </c>
      <c r="E444" s="75">
        <v>495769.45</v>
      </c>
      <c r="F444" s="75">
        <v>0</v>
      </c>
      <c r="G444" s="75">
        <v>0</v>
      </c>
      <c r="H444" s="75">
        <v>0</v>
      </c>
      <c r="I444" s="75">
        <v>0</v>
      </c>
      <c r="J444" s="152">
        <v>0</v>
      </c>
      <c r="K444" s="75">
        <v>0</v>
      </c>
      <c r="L444" s="75">
        <v>0</v>
      </c>
      <c r="M444" s="75">
        <v>0</v>
      </c>
      <c r="N444" s="75">
        <v>0</v>
      </c>
      <c r="O444" s="75">
        <v>0</v>
      </c>
      <c r="P444" s="75">
        <v>0</v>
      </c>
      <c r="Q444" s="75">
        <v>0</v>
      </c>
      <c r="R444" s="42">
        <v>0</v>
      </c>
      <c r="S444" s="75">
        <v>0</v>
      </c>
      <c r="T444" s="75">
        <v>0</v>
      </c>
      <c r="U444" s="243"/>
      <c r="V444" s="243"/>
    </row>
    <row r="445" spans="1:42" s="186" customFormat="1" ht="22.5" customHeight="1" x14ac:dyDescent="0.25">
      <c r="A445" s="25">
        <v>17</v>
      </c>
      <c r="B445" s="26" t="s">
        <v>1148</v>
      </c>
      <c r="C445" s="75">
        <f t="shared" si="84"/>
        <v>590729.74</v>
      </c>
      <c r="D445" s="75">
        <f t="shared" si="85"/>
        <v>468771.57</v>
      </c>
      <c r="E445" s="75">
        <v>468771.57</v>
      </c>
      <c r="F445" s="75">
        <v>0</v>
      </c>
      <c r="G445" s="75">
        <v>0</v>
      </c>
      <c r="H445" s="75">
        <v>0</v>
      </c>
      <c r="I445" s="75">
        <v>0</v>
      </c>
      <c r="J445" s="152">
        <v>0</v>
      </c>
      <c r="K445" s="75">
        <v>0</v>
      </c>
      <c r="L445" s="75">
        <v>0</v>
      </c>
      <c r="M445" s="75">
        <v>0</v>
      </c>
      <c r="N445" s="75">
        <v>0</v>
      </c>
      <c r="O445" s="75">
        <v>0</v>
      </c>
      <c r="P445" s="75">
        <v>121958.17</v>
      </c>
      <c r="Q445" s="75">
        <v>0</v>
      </c>
      <c r="R445" s="75">
        <v>0</v>
      </c>
      <c r="S445" s="75">
        <v>0</v>
      </c>
      <c r="T445" s="75">
        <v>0</v>
      </c>
      <c r="U445" s="243"/>
      <c r="V445" s="243"/>
    </row>
    <row r="446" spans="1:42" s="186" customFormat="1" ht="22.5" customHeight="1" x14ac:dyDescent="0.25">
      <c r="A446" s="326" t="s">
        <v>1149</v>
      </c>
      <c r="B446" s="326"/>
      <c r="C446" s="118">
        <f t="shared" ref="C446:T446" si="86">SUM(C447:C449)</f>
        <v>5523218.6899999995</v>
      </c>
      <c r="D446" s="118">
        <f t="shared" si="86"/>
        <v>0</v>
      </c>
      <c r="E446" s="118">
        <f t="shared" si="86"/>
        <v>0</v>
      </c>
      <c r="F446" s="118">
        <f t="shared" si="86"/>
        <v>0</v>
      </c>
      <c r="G446" s="118">
        <f t="shared" si="86"/>
        <v>0</v>
      </c>
      <c r="H446" s="118">
        <f t="shared" si="86"/>
        <v>0</v>
      </c>
      <c r="I446" s="118">
        <f t="shared" si="86"/>
        <v>0</v>
      </c>
      <c r="J446" s="119">
        <f t="shared" si="86"/>
        <v>0</v>
      </c>
      <c r="K446" s="118">
        <f t="shared" si="86"/>
        <v>0</v>
      </c>
      <c r="L446" s="118">
        <f t="shared" si="86"/>
        <v>5344254.97</v>
      </c>
      <c r="M446" s="118">
        <f t="shared" si="86"/>
        <v>0</v>
      </c>
      <c r="N446" s="118">
        <f t="shared" si="86"/>
        <v>0</v>
      </c>
      <c r="O446" s="118">
        <f t="shared" si="86"/>
        <v>0</v>
      </c>
      <c r="P446" s="118">
        <f t="shared" si="86"/>
        <v>178963.72</v>
      </c>
      <c r="Q446" s="118">
        <f t="shared" si="86"/>
        <v>0</v>
      </c>
      <c r="R446" s="118">
        <f t="shared" si="86"/>
        <v>0</v>
      </c>
      <c r="S446" s="118">
        <f t="shared" si="86"/>
        <v>0</v>
      </c>
      <c r="T446" s="118">
        <f t="shared" si="86"/>
        <v>0</v>
      </c>
      <c r="U446" s="238"/>
      <c r="V446" s="238"/>
    </row>
    <row r="447" spans="1:42" s="186" customFormat="1" ht="22.5" customHeight="1" x14ac:dyDescent="0.25">
      <c r="A447" s="25">
        <v>1</v>
      </c>
      <c r="B447" s="100" t="s">
        <v>559</v>
      </c>
      <c r="C447" s="75">
        <f t="shared" ref="C447:C449" si="87">D447+K447+L447+M447+N447+O447+P447+Q447+R447+S447+T447</f>
        <v>1802531.01</v>
      </c>
      <c r="D447" s="75">
        <f t="shared" ref="D447:D449" si="88">SUM(E447:I447)</f>
        <v>0</v>
      </c>
      <c r="E447" s="87">
        <v>0</v>
      </c>
      <c r="F447" s="87">
        <v>0</v>
      </c>
      <c r="G447" s="87">
        <v>0</v>
      </c>
      <c r="H447" s="87">
        <v>0</v>
      </c>
      <c r="I447" s="87">
        <v>0</v>
      </c>
      <c r="J447" s="240">
        <v>0</v>
      </c>
      <c r="K447" s="87">
        <v>0</v>
      </c>
      <c r="L447" s="87">
        <v>1802531.01</v>
      </c>
      <c r="M447" s="87">
        <v>0</v>
      </c>
      <c r="N447" s="87">
        <v>0</v>
      </c>
      <c r="O447" s="87">
        <v>0</v>
      </c>
      <c r="P447" s="87">
        <v>0</v>
      </c>
      <c r="Q447" s="87">
        <v>0</v>
      </c>
      <c r="R447" s="87">
        <v>0</v>
      </c>
      <c r="S447" s="87">
        <v>0</v>
      </c>
      <c r="T447" s="87">
        <v>0</v>
      </c>
      <c r="U447" s="264"/>
      <c r="V447" s="264"/>
    </row>
    <row r="448" spans="1:42" s="186" customFormat="1" ht="22.5" customHeight="1" x14ac:dyDescent="0.25">
      <c r="A448" s="25">
        <v>2</v>
      </c>
      <c r="B448" s="100" t="s">
        <v>560</v>
      </c>
      <c r="C448" s="75">
        <f t="shared" si="87"/>
        <v>3541723.96</v>
      </c>
      <c r="D448" s="75">
        <f t="shared" si="88"/>
        <v>0</v>
      </c>
      <c r="E448" s="87">
        <v>0</v>
      </c>
      <c r="F448" s="87">
        <v>0</v>
      </c>
      <c r="G448" s="87">
        <v>0</v>
      </c>
      <c r="H448" s="87">
        <v>0</v>
      </c>
      <c r="I448" s="87">
        <v>0</v>
      </c>
      <c r="J448" s="240">
        <v>0</v>
      </c>
      <c r="K448" s="87">
        <v>0</v>
      </c>
      <c r="L448" s="87">
        <v>3541723.96</v>
      </c>
      <c r="M448" s="87">
        <v>0</v>
      </c>
      <c r="N448" s="87">
        <v>0</v>
      </c>
      <c r="O448" s="87">
        <v>0</v>
      </c>
      <c r="P448" s="87">
        <v>0</v>
      </c>
      <c r="Q448" s="87">
        <v>0</v>
      </c>
      <c r="R448" s="87">
        <v>0</v>
      </c>
      <c r="S448" s="87">
        <v>0</v>
      </c>
      <c r="T448" s="87">
        <v>0</v>
      </c>
      <c r="U448" s="269"/>
      <c r="V448" s="269"/>
    </row>
    <row r="449" spans="1:39" s="186" customFormat="1" ht="22.5" customHeight="1" x14ac:dyDescent="0.25">
      <c r="A449" s="25">
        <v>3</v>
      </c>
      <c r="B449" s="100" t="s">
        <v>1150</v>
      </c>
      <c r="C449" s="75">
        <f t="shared" si="87"/>
        <v>178963.72</v>
      </c>
      <c r="D449" s="75">
        <f t="shared" si="88"/>
        <v>0</v>
      </c>
      <c r="E449" s="87">
        <v>0</v>
      </c>
      <c r="F449" s="87">
        <v>0</v>
      </c>
      <c r="G449" s="87">
        <v>0</v>
      </c>
      <c r="H449" s="87">
        <v>0</v>
      </c>
      <c r="I449" s="87">
        <v>0</v>
      </c>
      <c r="J449" s="240">
        <v>0</v>
      </c>
      <c r="K449" s="87">
        <v>0</v>
      </c>
      <c r="L449" s="87">
        <v>0</v>
      </c>
      <c r="M449" s="87">
        <v>0</v>
      </c>
      <c r="N449" s="87">
        <v>0</v>
      </c>
      <c r="O449" s="87">
        <v>0</v>
      </c>
      <c r="P449" s="87">
        <v>178963.72</v>
      </c>
      <c r="Q449" s="87">
        <v>0</v>
      </c>
      <c r="R449" s="87">
        <v>0</v>
      </c>
      <c r="S449" s="87">
        <v>0</v>
      </c>
      <c r="T449" s="87">
        <v>0</v>
      </c>
      <c r="U449" s="264"/>
      <c r="V449" s="264"/>
      <c r="AJ449" s="40"/>
      <c r="AK449" s="40"/>
      <c r="AL449" s="40"/>
      <c r="AM449" s="40"/>
    </row>
    <row r="450" spans="1:39" s="186" customFormat="1" ht="27.75" customHeight="1" x14ac:dyDescent="0.25">
      <c r="A450" s="326" t="s">
        <v>564</v>
      </c>
      <c r="B450" s="326"/>
      <c r="C450" s="118">
        <f t="shared" ref="C450:T450" si="89">SUM(C451:C452)</f>
        <v>3431485.71</v>
      </c>
      <c r="D450" s="118">
        <f t="shared" si="89"/>
        <v>3431485.71</v>
      </c>
      <c r="E450" s="118">
        <f t="shared" si="89"/>
        <v>0</v>
      </c>
      <c r="F450" s="118">
        <f t="shared" si="89"/>
        <v>3431485.71</v>
      </c>
      <c r="G450" s="118">
        <f t="shared" si="89"/>
        <v>0</v>
      </c>
      <c r="H450" s="118">
        <f t="shared" si="89"/>
        <v>0</v>
      </c>
      <c r="I450" s="118">
        <f t="shared" si="89"/>
        <v>0</v>
      </c>
      <c r="J450" s="119">
        <f t="shared" si="89"/>
        <v>0</v>
      </c>
      <c r="K450" s="118">
        <f t="shared" si="89"/>
        <v>0</v>
      </c>
      <c r="L450" s="118">
        <f t="shared" si="89"/>
        <v>0</v>
      </c>
      <c r="M450" s="118">
        <f t="shared" si="89"/>
        <v>0</v>
      </c>
      <c r="N450" s="118">
        <f t="shared" si="89"/>
        <v>0</v>
      </c>
      <c r="O450" s="118">
        <f t="shared" si="89"/>
        <v>0</v>
      </c>
      <c r="P450" s="118">
        <f t="shared" si="89"/>
        <v>0</v>
      </c>
      <c r="Q450" s="118">
        <f t="shared" si="89"/>
        <v>0</v>
      </c>
      <c r="R450" s="118">
        <f t="shared" si="89"/>
        <v>0</v>
      </c>
      <c r="S450" s="118">
        <f t="shared" si="89"/>
        <v>0</v>
      </c>
      <c r="T450" s="118">
        <f t="shared" si="89"/>
        <v>0</v>
      </c>
      <c r="U450" s="238"/>
      <c r="V450" s="238"/>
    </row>
    <row r="451" spans="1:39" s="186" customFormat="1" ht="23.25" customHeight="1" x14ac:dyDescent="0.25">
      <c r="A451" s="25">
        <v>1</v>
      </c>
      <c r="B451" s="37" t="s">
        <v>565</v>
      </c>
      <c r="C451" s="75">
        <f>D451+K451+L451+M451+N451+O451+P451+Q451+R451+S451+T451</f>
        <v>1746872.91</v>
      </c>
      <c r="D451" s="75">
        <f>SUM(E451:I451)</f>
        <v>1746872.91</v>
      </c>
      <c r="E451" s="75">
        <v>0</v>
      </c>
      <c r="F451" s="75">
        <v>1746872.91</v>
      </c>
      <c r="G451" s="75">
        <v>0</v>
      </c>
      <c r="H451" s="75">
        <v>0</v>
      </c>
      <c r="I451" s="75">
        <v>0</v>
      </c>
      <c r="J451" s="152">
        <v>0</v>
      </c>
      <c r="K451" s="75">
        <v>0</v>
      </c>
      <c r="L451" s="75">
        <v>0</v>
      </c>
      <c r="M451" s="75">
        <v>0</v>
      </c>
      <c r="N451" s="75">
        <v>0</v>
      </c>
      <c r="O451" s="75">
        <v>0</v>
      </c>
      <c r="P451" s="75">
        <v>0</v>
      </c>
      <c r="Q451" s="75">
        <v>0</v>
      </c>
      <c r="R451" s="75">
        <v>0</v>
      </c>
      <c r="S451" s="75">
        <v>0</v>
      </c>
      <c r="T451" s="75">
        <v>0</v>
      </c>
      <c r="U451" s="253"/>
      <c r="V451" s="253"/>
    </row>
    <row r="452" spans="1:39" s="186" customFormat="1" ht="22.5" customHeight="1" x14ac:dyDescent="0.25">
      <c r="A452" s="25">
        <v>2</v>
      </c>
      <c r="B452" s="37" t="s">
        <v>566</v>
      </c>
      <c r="C452" s="75">
        <f t="shared" si="81"/>
        <v>1684612.8</v>
      </c>
      <c r="D452" s="75">
        <f t="shared" si="82"/>
        <v>1684612.8</v>
      </c>
      <c r="E452" s="75">
        <v>0</v>
      </c>
      <c r="F452" s="75">
        <v>1684612.8</v>
      </c>
      <c r="G452" s="75">
        <v>0</v>
      </c>
      <c r="H452" s="75">
        <v>0</v>
      </c>
      <c r="I452" s="75">
        <v>0</v>
      </c>
      <c r="J452" s="152">
        <v>0</v>
      </c>
      <c r="K452" s="75">
        <v>0</v>
      </c>
      <c r="L452" s="75">
        <v>0</v>
      </c>
      <c r="M452" s="75">
        <v>0</v>
      </c>
      <c r="N452" s="75">
        <v>0</v>
      </c>
      <c r="O452" s="75">
        <v>0</v>
      </c>
      <c r="P452" s="75">
        <v>0</v>
      </c>
      <c r="Q452" s="75">
        <v>0</v>
      </c>
      <c r="R452" s="75">
        <v>0</v>
      </c>
      <c r="S452" s="75">
        <v>0</v>
      </c>
      <c r="T452" s="75">
        <v>0</v>
      </c>
      <c r="U452" s="253"/>
      <c r="V452" s="253"/>
    </row>
    <row r="453" spans="1:39" s="270" customFormat="1" ht="22.5" customHeight="1" x14ac:dyDescent="0.25">
      <c r="A453" s="356" t="s">
        <v>883</v>
      </c>
      <c r="B453" s="356"/>
      <c r="C453" s="271"/>
      <c r="D453" s="271"/>
      <c r="E453" s="271"/>
      <c r="F453" s="271"/>
      <c r="G453" s="271"/>
      <c r="H453" s="271"/>
      <c r="I453" s="271"/>
      <c r="J453" s="272"/>
      <c r="K453" s="271"/>
      <c r="L453" s="271"/>
      <c r="M453" s="271"/>
      <c r="N453" s="271"/>
      <c r="O453" s="271"/>
      <c r="P453" s="271"/>
      <c r="Q453" s="271"/>
      <c r="R453" s="271"/>
      <c r="S453" s="271"/>
      <c r="T453" s="271"/>
      <c r="U453" s="273"/>
      <c r="V453" s="273"/>
    </row>
    <row r="454" spans="1:39" s="186" customFormat="1" ht="22.5" customHeight="1" x14ac:dyDescent="0.25">
      <c r="A454" s="358" t="s">
        <v>38</v>
      </c>
      <c r="B454" s="358"/>
      <c r="C454" s="118">
        <f t="shared" ref="C454:T454" si="90">C455+C627+C629+C633+C642+C652+C657+C664+C668+C671+C687+C691+C693+C696+C699+C707+C731+C738+C747+C752+C755+C757+C761+C770+C789+C791</f>
        <v>3217490971.4470401</v>
      </c>
      <c r="D454" s="118">
        <f t="shared" si="90"/>
        <v>563313924.3499999</v>
      </c>
      <c r="E454" s="118">
        <f t="shared" si="90"/>
        <v>152842876.17000002</v>
      </c>
      <c r="F454" s="118">
        <f t="shared" si="90"/>
        <v>283021610.26999998</v>
      </c>
      <c r="G454" s="118">
        <f t="shared" si="90"/>
        <v>69913283.550000012</v>
      </c>
      <c r="H454" s="118">
        <f t="shared" si="90"/>
        <v>26602959.230000004</v>
      </c>
      <c r="I454" s="118">
        <f t="shared" si="90"/>
        <v>30933195.130000003</v>
      </c>
      <c r="J454" s="119">
        <f t="shared" si="90"/>
        <v>37</v>
      </c>
      <c r="K454" s="118">
        <f t="shared" si="90"/>
        <v>194723859</v>
      </c>
      <c r="L454" s="118">
        <f t="shared" si="90"/>
        <v>1364615498.4299996</v>
      </c>
      <c r="M454" s="118">
        <f t="shared" si="90"/>
        <v>0</v>
      </c>
      <c r="N454" s="118">
        <f t="shared" si="90"/>
        <v>371229409.83000004</v>
      </c>
      <c r="O454" s="118">
        <f t="shared" si="90"/>
        <v>0</v>
      </c>
      <c r="P454" s="118">
        <f t="shared" si="90"/>
        <v>127624936.53</v>
      </c>
      <c r="Q454" s="118">
        <f t="shared" si="90"/>
        <v>0</v>
      </c>
      <c r="R454" s="118">
        <f t="shared" si="90"/>
        <v>61425404.387040019</v>
      </c>
      <c r="S454" s="118">
        <f t="shared" si="90"/>
        <v>534557938.91999996</v>
      </c>
      <c r="T454" s="118">
        <f t="shared" si="90"/>
        <v>0</v>
      </c>
      <c r="U454" s="238"/>
      <c r="V454" s="238"/>
    </row>
    <row r="455" spans="1:39" s="186" customFormat="1" ht="22.5" customHeight="1" x14ac:dyDescent="0.25">
      <c r="A455" s="322" t="s">
        <v>41</v>
      </c>
      <c r="B455" s="322"/>
      <c r="C455" s="118">
        <f t="shared" ref="C455:T455" si="91">SUM(C456:C626)</f>
        <v>2011567326.3200004</v>
      </c>
      <c r="D455" s="118">
        <f t="shared" si="91"/>
        <v>357369335.65999997</v>
      </c>
      <c r="E455" s="118">
        <f t="shared" si="91"/>
        <v>75374547.670000002</v>
      </c>
      <c r="F455" s="118">
        <f t="shared" si="91"/>
        <v>201139714.02999997</v>
      </c>
      <c r="G455" s="118">
        <f t="shared" si="91"/>
        <v>48904194.609999999</v>
      </c>
      <c r="H455" s="118">
        <f t="shared" si="91"/>
        <v>16719573.190000003</v>
      </c>
      <c r="I455" s="118">
        <f t="shared" si="91"/>
        <v>15231306.16</v>
      </c>
      <c r="J455" s="119">
        <f t="shared" si="91"/>
        <v>35</v>
      </c>
      <c r="K455" s="118">
        <f t="shared" si="91"/>
        <v>184198245</v>
      </c>
      <c r="L455" s="118">
        <f t="shared" si="91"/>
        <v>810330987.21000004</v>
      </c>
      <c r="M455" s="118">
        <f t="shared" si="91"/>
        <v>0</v>
      </c>
      <c r="N455" s="118">
        <f t="shared" si="91"/>
        <v>292553640.88</v>
      </c>
      <c r="O455" s="118">
        <f t="shared" si="91"/>
        <v>0</v>
      </c>
      <c r="P455" s="118">
        <f t="shared" si="91"/>
        <v>64893816.850000001</v>
      </c>
      <c r="Q455" s="118">
        <f t="shared" si="91"/>
        <v>0</v>
      </c>
      <c r="R455" s="118">
        <f t="shared" si="91"/>
        <v>37507389.770000011</v>
      </c>
      <c r="S455" s="118">
        <f t="shared" si="91"/>
        <v>264713910.94999999</v>
      </c>
      <c r="T455" s="118">
        <f t="shared" si="91"/>
        <v>0</v>
      </c>
      <c r="U455" s="238"/>
      <c r="V455" s="238"/>
    </row>
    <row r="456" spans="1:39" s="186" customFormat="1" ht="22.5" customHeight="1" x14ac:dyDescent="0.25">
      <c r="A456" s="25">
        <v>1</v>
      </c>
      <c r="B456" s="34" t="s">
        <v>568</v>
      </c>
      <c r="C456" s="75">
        <f t="shared" ref="C456:C519" si="92">D456+K456+L456+M456+N456+O456+P456+Q456+R456+S456+T456</f>
        <v>9765558.4700000007</v>
      </c>
      <c r="D456" s="75">
        <f t="shared" ref="D456:D519" si="93">SUM(E456:I456)</f>
        <v>0</v>
      </c>
      <c r="E456" s="87">
        <v>0</v>
      </c>
      <c r="F456" s="87">
        <v>0</v>
      </c>
      <c r="G456" s="87">
        <v>0</v>
      </c>
      <c r="H456" s="87">
        <v>0</v>
      </c>
      <c r="I456" s="87">
        <v>0</v>
      </c>
      <c r="J456" s="152">
        <v>0</v>
      </c>
      <c r="K456" s="75">
        <v>0</v>
      </c>
      <c r="L456" s="75">
        <v>9765558.4700000007</v>
      </c>
      <c r="M456" s="75">
        <v>0</v>
      </c>
      <c r="N456" s="75">
        <v>0</v>
      </c>
      <c r="O456" s="75">
        <v>0</v>
      </c>
      <c r="P456" s="87">
        <v>0</v>
      </c>
      <c r="Q456" s="75">
        <v>0</v>
      </c>
      <c r="R456" s="75">
        <v>0</v>
      </c>
      <c r="S456" s="75">
        <v>0</v>
      </c>
      <c r="T456" s="75">
        <v>0</v>
      </c>
      <c r="U456" s="239"/>
      <c r="V456" s="239"/>
    </row>
    <row r="457" spans="1:39" s="186" customFormat="1" ht="22.5" customHeight="1" x14ac:dyDescent="0.25">
      <c r="A457" s="25">
        <v>2</v>
      </c>
      <c r="B457" s="34" t="s">
        <v>1151</v>
      </c>
      <c r="C457" s="75">
        <f t="shared" si="92"/>
        <v>20890853.77</v>
      </c>
      <c r="D457" s="75">
        <f t="shared" si="93"/>
        <v>0</v>
      </c>
      <c r="E457" s="87">
        <v>0</v>
      </c>
      <c r="F457" s="75">
        <v>0</v>
      </c>
      <c r="G457" s="87">
        <v>0</v>
      </c>
      <c r="H457" s="87">
        <v>0</v>
      </c>
      <c r="I457" s="75">
        <v>0</v>
      </c>
      <c r="J457" s="152">
        <v>0</v>
      </c>
      <c r="K457" s="75">
        <v>0</v>
      </c>
      <c r="L457" s="75">
        <v>20110115.300000001</v>
      </c>
      <c r="M457" s="75">
        <v>0</v>
      </c>
      <c r="N457" s="75">
        <v>0</v>
      </c>
      <c r="O457" s="75">
        <v>0</v>
      </c>
      <c r="P457" s="87">
        <v>350382</v>
      </c>
      <c r="Q457" s="75">
        <v>0</v>
      </c>
      <c r="R457" s="75">
        <v>430356.47</v>
      </c>
      <c r="S457" s="75">
        <v>0</v>
      </c>
      <c r="T457" s="75">
        <v>0</v>
      </c>
      <c r="U457" s="239"/>
      <c r="V457" s="239"/>
    </row>
    <row r="458" spans="1:39" s="186" customFormat="1" ht="22.5" customHeight="1" x14ac:dyDescent="0.25">
      <c r="A458" s="25">
        <v>3</v>
      </c>
      <c r="B458" s="34" t="s">
        <v>49</v>
      </c>
      <c r="C458" s="75">
        <f t="shared" si="92"/>
        <v>452896.73000000004</v>
      </c>
      <c r="D458" s="75">
        <f t="shared" si="93"/>
        <v>443407.80000000005</v>
      </c>
      <c r="E458" s="87">
        <v>0</v>
      </c>
      <c r="F458" s="75">
        <v>0</v>
      </c>
      <c r="G458" s="87">
        <v>272529.30000000005</v>
      </c>
      <c r="H458" s="87">
        <v>170878.5</v>
      </c>
      <c r="I458" s="75">
        <v>0</v>
      </c>
      <c r="J458" s="152">
        <v>0</v>
      </c>
      <c r="K458" s="75">
        <v>0</v>
      </c>
      <c r="L458" s="75">
        <v>0</v>
      </c>
      <c r="M458" s="75">
        <v>0</v>
      </c>
      <c r="N458" s="75">
        <v>0</v>
      </c>
      <c r="O458" s="75">
        <v>0</v>
      </c>
      <c r="P458" s="87">
        <v>0</v>
      </c>
      <c r="Q458" s="75">
        <v>0</v>
      </c>
      <c r="R458" s="75">
        <f>5832.13+3656.8</f>
        <v>9488.93</v>
      </c>
      <c r="S458" s="75">
        <v>0</v>
      </c>
      <c r="T458" s="75">
        <v>0</v>
      </c>
      <c r="U458" s="239"/>
      <c r="V458" s="239"/>
    </row>
    <row r="459" spans="1:39" s="186" customFormat="1" ht="22.5" customHeight="1" x14ac:dyDescent="0.25">
      <c r="A459" s="25">
        <v>4</v>
      </c>
      <c r="B459" s="34" t="s">
        <v>1152</v>
      </c>
      <c r="C459" s="75">
        <f t="shared" si="92"/>
        <v>19480545.539999999</v>
      </c>
      <c r="D459" s="75">
        <f t="shared" si="93"/>
        <v>6818630.7000000002</v>
      </c>
      <c r="E459" s="87">
        <v>6818630.7000000002</v>
      </c>
      <c r="F459" s="87">
        <v>0</v>
      </c>
      <c r="G459" s="75">
        <v>0</v>
      </c>
      <c r="H459" s="87">
        <v>0</v>
      </c>
      <c r="I459" s="87">
        <v>0</v>
      </c>
      <c r="J459" s="152">
        <v>0</v>
      </c>
      <c r="K459" s="75">
        <v>0</v>
      </c>
      <c r="L459" s="87">
        <v>12165614.140000001</v>
      </c>
      <c r="M459" s="75">
        <v>0</v>
      </c>
      <c r="N459" s="75">
        <v>0</v>
      </c>
      <c r="O459" s="75">
        <v>0</v>
      </c>
      <c r="P459" s="87">
        <v>350382</v>
      </c>
      <c r="Q459" s="75">
        <v>0</v>
      </c>
      <c r="R459" s="75">
        <v>145918.70000000001</v>
      </c>
      <c r="S459" s="75">
        <v>0</v>
      </c>
      <c r="T459" s="75">
        <v>0</v>
      </c>
      <c r="U459" s="239"/>
      <c r="V459" s="239"/>
    </row>
    <row r="460" spans="1:39" s="186" customFormat="1" ht="22.5" customHeight="1" x14ac:dyDescent="0.25">
      <c r="A460" s="25">
        <v>5</v>
      </c>
      <c r="B460" s="34" t="s">
        <v>1153</v>
      </c>
      <c r="C460" s="75">
        <f t="shared" si="92"/>
        <v>350382</v>
      </c>
      <c r="D460" s="75">
        <f t="shared" si="93"/>
        <v>0</v>
      </c>
      <c r="E460" s="87">
        <v>0</v>
      </c>
      <c r="F460" s="87">
        <v>0</v>
      </c>
      <c r="G460" s="75">
        <v>0</v>
      </c>
      <c r="H460" s="87">
        <v>0</v>
      </c>
      <c r="I460" s="87">
        <v>0</v>
      </c>
      <c r="J460" s="152">
        <v>0</v>
      </c>
      <c r="K460" s="75">
        <v>0</v>
      </c>
      <c r="L460" s="87">
        <v>0</v>
      </c>
      <c r="M460" s="75">
        <v>0</v>
      </c>
      <c r="N460" s="75">
        <v>0</v>
      </c>
      <c r="O460" s="75">
        <v>0</v>
      </c>
      <c r="P460" s="87">
        <v>350382</v>
      </c>
      <c r="Q460" s="75">
        <v>0</v>
      </c>
      <c r="R460" s="75">
        <v>0</v>
      </c>
      <c r="S460" s="75">
        <v>0</v>
      </c>
      <c r="T460" s="75">
        <v>0</v>
      </c>
      <c r="U460" s="239"/>
      <c r="V460" s="239"/>
    </row>
    <row r="461" spans="1:39" s="186" customFormat="1" ht="22.5" customHeight="1" x14ac:dyDescent="0.25">
      <c r="A461" s="25">
        <v>6</v>
      </c>
      <c r="B461" s="34" t="s">
        <v>62</v>
      </c>
      <c r="C461" s="75">
        <f t="shared" si="92"/>
        <v>19108256.010000002</v>
      </c>
      <c r="D461" s="75">
        <f t="shared" si="93"/>
        <v>0</v>
      </c>
      <c r="E461" s="87">
        <v>0</v>
      </c>
      <c r="F461" s="75">
        <v>0</v>
      </c>
      <c r="G461" s="75">
        <v>0</v>
      </c>
      <c r="H461" s="87">
        <v>0</v>
      </c>
      <c r="I461" s="75">
        <v>0</v>
      </c>
      <c r="J461" s="152">
        <v>0</v>
      </c>
      <c r="K461" s="75">
        <v>0</v>
      </c>
      <c r="L461" s="87">
        <v>18707906.800000001</v>
      </c>
      <c r="M461" s="75">
        <v>0</v>
      </c>
      <c r="N461" s="75">
        <v>0</v>
      </c>
      <c r="O461" s="75">
        <v>0</v>
      </c>
      <c r="P461" s="87">
        <v>0</v>
      </c>
      <c r="Q461" s="75">
        <v>0</v>
      </c>
      <c r="R461" s="75">
        <v>400349.21</v>
      </c>
      <c r="S461" s="75">
        <v>0</v>
      </c>
      <c r="T461" s="75">
        <v>0</v>
      </c>
      <c r="U461" s="238"/>
      <c r="V461" s="238"/>
    </row>
    <row r="462" spans="1:39" s="186" customFormat="1" ht="22.5" customHeight="1" x14ac:dyDescent="0.25">
      <c r="A462" s="25">
        <v>7</v>
      </c>
      <c r="B462" s="34" t="s">
        <v>1154</v>
      </c>
      <c r="C462" s="75">
        <f t="shared" si="92"/>
        <v>26260361.970000003</v>
      </c>
      <c r="D462" s="75">
        <f t="shared" si="93"/>
        <v>2233902</v>
      </c>
      <c r="E462" s="87">
        <v>0</v>
      </c>
      <c r="F462" s="75">
        <v>0</v>
      </c>
      <c r="G462" s="75">
        <v>0</v>
      </c>
      <c r="H462" s="87">
        <v>862899.4</v>
      </c>
      <c r="I462" s="75">
        <v>1371002.6</v>
      </c>
      <c r="J462" s="152">
        <v>0</v>
      </c>
      <c r="K462" s="75">
        <v>0</v>
      </c>
      <c r="L462" s="87">
        <v>22790180.600000001</v>
      </c>
      <c r="M462" s="75">
        <v>0</v>
      </c>
      <c r="N462" s="75">
        <v>0</v>
      </c>
      <c r="O462" s="75">
        <v>0</v>
      </c>
      <c r="P462" s="87">
        <f>350382+350382</f>
        <v>700764</v>
      </c>
      <c r="Q462" s="75">
        <v>0</v>
      </c>
      <c r="R462" s="75">
        <f>487709.86+29339.46+18466.05</f>
        <v>535515.37</v>
      </c>
      <c r="S462" s="75">
        <v>0</v>
      </c>
      <c r="T462" s="75">
        <v>0</v>
      </c>
      <c r="U462" s="238"/>
      <c r="V462" s="238"/>
    </row>
    <row r="463" spans="1:39" s="186" customFormat="1" ht="22.5" customHeight="1" x14ac:dyDescent="0.25">
      <c r="A463" s="25">
        <v>8</v>
      </c>
      <c r="B463" s="34" t="s">
        <v>1155</v>
      </c>
      <c r="C463" s="75">
        <f t="shared" si="92"/>
        <v>1236496.1400000001</v>
      </c>
      <c r="D463" s="75">
        <f t="shared" si="93"/>
        <v>867548.6</v>
      </c>
      <c r="E463" s="87">
        <v>0</v>
      </c>
      <c r="F463" s="75">
        <v>0</v>
      </c>
      <c r="G463" s="75">
        <v>0</v>
      </c>
      <c r="H463" s="87">
        <v>867548.6</v>
      </c>
      <c r="I463" s="75">
        <v>0</v>
      </c>
      <c r="J463" s="152">
        <v>0</v>
      </c>
      <c r="K463" s="75">
        <v>0</v>
      </c>
      <c r="L463" s="87">
        <v>0</v>
      </c>
      <c r="M463" s="75">
        <v>0</v>
      </c>
      <c r="N463" s="75">
        <v>0</v>
      </c>
      <c r="O463" s="75">
        <v>0</v>
      </c>
      <c r="P463" s="87">
        <v>350382</v>
      </c>
      <c r="Q463" s="75">
        <v>0</v>
      </c>
      <c r="R463" s="75">
        <v>18565.54</v>
      </c>
      <c r="S463" s="75">
        <v>0</v>
      </c>
      <c r="T463" s="75">
        <v>0</v>
      </c>
      <c r="U463" s="238"/>
      <c r="V463" s="238"/>
    </row>
    <row r="464" spans="1:39" s="186" customFormat="1" ht="22.5" customHeight="1" x14ac:dyDescent="0.25">
      <c r="A464" s="25">
        <v>9</v>
      </c>
      <c r="B464" s="34" t="s">
        <v>1156</v>
      </c>
      <c r="C464" s="75">
        <f t="shared" si="92"/>
        <v>6646665.46</v>
      </c>
      <c r="D464" s="75">
        <f t="shared" si="93"/>
        <v>5821325.0999999996</v>
      </c>
      <c r="E464" s="87">
        <v>0</v>
      </c>
      <c r="F464" s="75">
        <v>0</v>
      </c>
      <c r="G464" s="87">
        <v>3532292.1</v>
      </c>
      <c r="H464" s="87">
        <v>884195.1</v>
      </c>
      <c r="I464" s="87">
        <v>1404837.9</v>
      </c>
      <c r="J464" s="152">
        <v>0</v>
      </c>
      <c r="K464" s="75">
        <v>0</v>
      </c>
      <c r="L464" s="75">
        <v>0</v>
      </c>
      <c r="M464" s="75">
        <v>0</v>
      </c>
      <c r="N464" s="87">
        <v>0</v>
      </c>
      <c r="O464" s="75">
        <v>0</v>
      </c>
      <c r="P464" s="87">
        <f>350382+350382</f>
        <v>700764</v>
      </c>
      <c r="Q464" s="75">
        <v>0</v>
      </c>
      <c r="R464" s="75">
        <f>30063.53+18921.78+75591.05</f>
        <v>124576.36</v>
      </c>
      <c r="S464" s="75">
        <v>0</v>
      </c>
      <c r="T464" s="75">
        <v>0</v>
      </c>
      <c r="U464" s="238"/>
      <c r="V464" s="238"/>
    </row>
    <row r="465" spans="1:22" s="186" customFormat="1" ht="22.5" customHeight="1" x14ac:dyDescent="0.25">
      <c r="A465" s="25">
        <v>10</v>
      </c>
      <c r="B465" s="34" t="s">
        <v>1157</v>
      </c>
      <c r="C465" s="75">
        <f t="shared" si="92"/>
        <v>9521617.9900000002</v>
      </c>
      <c r="D465" s="75">
        <f t="shared" si="93"/>
        <v>8979083.5999999996</v>
      </c>
      <c r="E465" s="87">
        <v>0</v>
      </c>
      <c r="F465" s="75">
        <v>8979083.5999999996</v>
      </c>
      <c r="G465" s="75">
        <v>0</v>
      </c>
      <c r="H465" s="87">
        <v>0</v>
      </c>
      <c r="I465" s="75">
        <v>0</v>
      </c>
      <c r="J465" s="152">
        <v>0</v>
      </c>
      <c r="K465" s="75">
        <v>0</v>
      </c>
      <c r="L465" s="75">
        <v>0</v>
      </c>
      <c r="M465" s="75">
        <v>0</v>
      </c>
      <c r="N465" s="87">
        <v>0</v>
      </c>
      <c r="O465" s="75">
        <v>0</v>
      </c>
      <c r="P465" s="75">
        <v>350382</v>
      </c>
      <c r="Q465" s="75">
        <v>0</v>
      </c>
      <c r="R465" s="75">
        <v>192152.39</v>
      </c>
      <c r="S465" s="75">
        <v>0</v>
      </c>
      <c r="T465" s="75">
        <v>0</v>
      </c>
      <c r="U465" s="238"/>
      <c r="V465" s="238"/>
    </row>
    <row r="466" spans="1:22" s="186" customFormat="1" ht="22.5" customHeight="1" x14ac:dyDescent="0.25">
      <c r="A466" s="25">
        <v>11</v>
      </c>
      <c r="B466" s="34" t="s">
        <v>71</v>
      </c>
      <c r="C466" s="75">
        <f t="shared" si="92"/>
        <v>5223151.38</v>
      </c>
      <c r="D466" s="75">
        <f t="shared" si="93"/>
        <v>5156506.84</v>
      </c>
      <c r="E466" s="87">
        <v>0</v>
      </c>
      <c r="F466" s="75">
        <v>3114230.99</v>
      </c>
      <c r="G466" s="75">
        <v>1374616.27</v>
      </c>
      <c r="H466" s="87">
        <v>308136.21999999997</v>
      </c>
      <c r="I466" s="75">
        <v>359523.36</v>
      </c>
      <c r="J466" s="152">
        <v>0</v>
      </c>
      <c r="K466" s="75">
        <v>0</v>
      </c>
      <c r="L466" s="75">
        <v>0</v>
      </c>
      <c r="M466" s="75">
        <v>0</v>
      </c>
      <c r="N466" s="87">
        <v>0</v>
      </c>
      <c r="O466" s="75">
        <v>0</v>
      </c>
      <c r="P466" s="75">
        <v>0</v>
      </c>
      <c r="Q466" s="75">
        <v>0</v>
      </c>
      <c r="R466" s="75">
        <v>66644.539999999994</v>
      </c>
      <c r="S466" s="75">
        <v>0</v>
      </c>
      <c r="T466" s="75">
        <v>0</v>
      </c>
      <c r="U466" s="238"/>
      <c r="V466" s="238"/>
    </row>
    <row r="467" spans="1:22" s="186" customFormat="1" ht="22.5" customHeight="1" x14ac:dyDescent="0.25">
      <c r="A467" s="25">
        <v>12</v>
      </c>
      <c r="B467" s="34" t="s">
        <v>1158</v>
      </c>
      <c r="C467" s="75">
        <f t="shared" si="92"/>
        <v>3615933.57</v>
      </c>
      <c r="D467" s="75">
        <f t="shared" si="93"/>
        <v>2854092</v>
      </c>
      <c r="E467" s="87">
        <v>0</v>
      </c>
      <c r="F467" s="75">
        <v>0</v>
      </c>
      <c r="G467" s="87">
        <v>2282693.5</v>
      </c>
      <c r="H467" s="87">
        <v>571398.5</v>
      </c>
      <c r="I467" s="75">
        <v>0</v>
      </c>
      <c r="J467" s="152">
        <v>0</v>
      </c>
      <c r="K467" s="75">
        <v>0</v>
      </c>
      <c r="L467" s="75">
        <v>0</v>
      </c>
      <c r="M467" s="75">
        <v>0</v>
      </c>
      <c r="N467" s="75">
        <v>0</v>
      </c>
      <c r="O467" s="75">
        <v>0</v>
      </c>
      <c r="P467" s="87">
        <f>350382+350382</f>
        <v>700764</v>
      </c>
      <c r="Q467" s="75">
        <v>0</v>
      </c>
      <c r="R467" s="75">
        <f>48849.64+12227.93</f>
        <v>61077.57</v>
      </c>
      <c r="S467" s="75">
        <v>0</v>
      </c>
      <c r="T467" s="75">
        <v>0</v>
      </c>
      <c r="U467" s="238"/>
      <c r="V467" s="238"/>
    </row>
    <row r="468" spans="1:22" s="186" customFormat="1" ht="22.5" customHeight="1" x14ac:dyDescent="0.25">
      <c r="A468" s="25">
        <v>13</v>
      </c>
      <c r="B468" s="34" t="s">
        <v>1159</v>
      </c>
      <c r="C468" s="75">
        <f t="shared" si="92"/>
        <v>6161088.8099999996</v>
      </c>
      <c r="D468" s="75">
        <f t="shared" si="93"/>
        <v>5688963</v>
      </c>
      <c r="E468" s="87">
        <v>5688963</v>
      </c>
      <c r="F468" s="75">
        <v>0</v>
      </c>
      <c r="G468" s="87">
        <v>0</v>
      </c>
      <c r="H468" s="87">
        <v>0</v>
      </c>
      <c r="I468" s="75">
        <v>0</v>
      </c>
      <c r="J468" s="152">
        <v>0</v>
      </c>
      <c r="K468" s="75">
        <v>0</v>
      </c>
      <c r="L468" s="75">
        <v>0</v>
      </c>
      <c r="M468" s="75">
        <v>0</v>
      </c>
      <c r="N468" s="75">
        <v>0</v>
      </c>
      <c r="O468" s="75">
        <v>0</v>
      </c>
      <c r="P468" s="87">
        <v>350382</v>
      </c>
      <c r="Q468" s="75">
        <v>0</v>
      </c>
      <c r="R468" s="75">
        <v>121743.81</v>
      </c>
      <c r="S468" s="75">
        <v>0</v>
      </c>
      <c r="T468" s="75">
        <v>0</v>
      </c>
      <c r="U468" s="238"/>
      <c r="V468" s="238"/>
    </row>
    <row r="469" spans="1:22" s="186" customFormat="1" ht="22.5" customHeight="1" x14ac:dyDescent="0.25">
      <c r="A469" s="25">
        <v>14</v>
      </c>
      <c r="B469" s="34" t="s">
        <v>930</v>
      </c>
      <c r="C469" s="75">
        <f t="shared" si="92"/>
        <v>8717963.0800000001</v>
      </c>
      <c r="D469" s="75">
        <f t="shared" si="93"/>
        <v>0</v>
      </c>
      <c r="E469" s="87">
        <v>0</v>
      </c>
      <c r="F469" s="87">
        <v>0</v>
      </c>
      <c r="G469" s="75">
        <v>0</v>
      </c>
      <c r="H469" s="87">
        <v>0</v>
      </c>
      <c r="I469" s="87">
        <v>0</v>
      </c>
      <c r="J469" s="152">
        <v>0</v>
      </c>
      <c r="K469" s="75">
        <v>0</v>
      </c>
      <c r="L469" s="75">
        <v>0</v>
      </c>
      <c r="M469" s="75">
        <v>0</v>
      </c>
      <c r="N469" s="87">
        <v>8535307.5</v>
      </c>
      <c r="O469" s="75">
        <v>0</v>
      </c>
      <c r="P469" s="75">
        <v>0</v>
      </c>
      <c r="Q469" s="75">
        <v>0</v>
      </c>
      <c r="R469" s="75">
        <v>182655.58</v>
      </c>
      <c r="S469" s="75">
        <v>0</v>
      </c>
      <c r="T469" s="75">
        <v>0</v>
      </c>
      <c r="U469" s="238"/>
      <c r="V469" s="238"/>
    </row>
    <row r="470" spans="1:22" s="186" customFormat="1" ht="22.5" customHeight="1" x14ac:dyDescent="0.25">
      <c r="A470" s="25">
        <v>15</v>
      </c>
      <c r="B470" s="34" t="s">
        <v>75</v>
      </c>
      <c r="C470" s="75">
        <f t="shared" si="92"/>
        <v>5563360.04</v>
      </c>
      <c r="D470" s="75">
        <f t="shared" si="93"/>
        <v>0</v>
      </c>
      <c r="E470" s="87">
        <v>0</v>
      </c>
      <c r="F470" s="75">
        <v>0</v>
      </c>
      <c r="G470" s="75">
        <v>0</v>
      </c>
      <c r="H470" s="87">
        <v>0</v>
      </c>
      <c r="I470" s="75">
        <v>0</v>
      </c>
      <c r="J470" s="152">
        <v>0</v>
      </c>
      <c r="K470" s="75">
        <v>0</v>
      </c>
      <c r="L470" s="87">
        <v>5563360.04</v>
      </c>
      <c r="M470" s="75">
        <v>0</v>
      </c>
      <c r="N470" s="75">
        <v>0</v>
      </c>
      <c r="O470" s="75">
        <v>0</v>
      </c>
      <c r="P470" s="87">
        <v>0</v>
      </c>
      <c r="Q470" s="75">
        <v>0</v>
      </c>
      <c r="R470" s="75">
        <v>0</v>
      </c>
      <c r="S470" s="75">
        <v>0</v>
      </c>
      <c r="T470" s="75">
        <v>0</v>
      </c>
      <c r="U470" s="239"/>
      <c r="V470" s="239"/>
    </row>
    <row r="471" spans="1:22" s="186" customFormat="1" ht="22.5" customHeight="1" x14ac:dyDescent="0.25">
      <c r="A471" s="25">
        <v>16</v>
      </c>
      <c r="B471" s="34" t="s">
        <v>1160</v>
      </c>
      <c r="C471" s="75">
        <f t="shared" si="92"/>
        <v>22022450.719999999</v>
      </c>
      <c r="D471" s="75">
        <f t="shared" si="93"/>
        <v>0</v>
      </c>
      <c r="E471" s="87">
        <v>0</v>
      </c>
      <c r="F471" s="75">
        <v>0</v>
      </c>
      <c r="G471" s="75">
        <v>0</v>
      </c>
      <c r="H471" s="87">
        <v>0</v>
      </c>
      <c r="I471" s="75">
        <v>0</v>
      </c>
      <c r="J471" s="152">
        <v>0</v>
      </c>
      <c r="K471" s="75">
        <v>0</v>
      </c>
      <c r="L471" s="87">
        <v>10751316</v>
      </c>
      <c r="M471" s="75">
        <v>0</v>
      </c>
      <c r="N471" s="75">
        <v>10549699</v>
      </c>
      <c r="O471" s="75">
        <v>0</v>
      </c>
      <c r="P471" s="87">
        <v>265594</v>
      </c>
      <c r="Q471" s="75">
        <v>0</v>
      </c>
      <c r="R471" s="75">
        <f>225763.56+230078.16</f>
        <v>455841.72</v>
      </c>
      <c r="S471" s="75">
        <v>0</v>
      </c>
      <c r="T471" s="75">
        <v>0</v>
      </c>
      <c r="U471" s="239"/>
      <c r="V471" s="239"/>
    </row>
    <row r="472" spans="1:22" s="186" customFormat="1" ht="22.5" customHeight="1" x14ac:dyDescent="0.25">
      <c r="A472" s="25">
        <v>17</v>
      </c>
      <c r="B472" s="34" t="s">
        <v>78</v>
      </c>
      <c r="C472" s="75">
        <f t="shared" si="92"/>
        <v>8596984.3800000008</v>
      </c>
      <c r="D472" s="75">
        <f t="shared" si="93"/>
        <v>0</v>
      </c>
      <c r="E472" s="87">
        <v>0</v>
      </c>
      <c r="F472" s="75">
        <v>0</v>
      </c>
      <c r="G472" s="75">
        <v>0</v>
      </c>
      <c r="H472" s="87">
        <v>0</v>
      </c>
      <c r="I472" s="75">
        <v>0</v>
      </c>
      <c r="J472" s="152">
        <v>0</v>
      </c>
      <c r="K472" s="75">
        <v>0</v>
      </c>
      <c r="L472" s="87">
        <v>0</v>
      </c>
      <c r="M472" s="75">
        <v>0</v>
      </c>
      <c r="N472" s="75">
        <v>0</v>
      </c>
      <c r="O472" s="75">
        <v>0</v>
      </c>
      <c r="P472" s="87">
        <v>0</v>
      </c>
      <c r="Q472" s="75">
        <v>0</v>
      </c>
      <c r="R472" s="75">
        <v>180120.88</v>
      </c>
      <c r="S472" s="75">
        <v>8416863.5</v>
      </c>
      <c r="T472" s="75">
        <v>0</v>
      </c>
      <c r="U472" s="239"/>
      <c r="V472" s="239"/>
    </row>
    <row r="473" spans="1:22" s="186" customFormat="1" ht="22.5" customHeight="1" x14ac:dyDescent="0.25">
      <c r="A473" s="25">
        <v>18</v>
      </c>
      <c r="B473" s="34" t="s">
        <v>80</v>
      </c>
      <c r="C473" s="75">
        <f t="shared" si="92"/>
        <v>5772639.0199999996</v>
      </c>
      <c r="D473" s="75">
        <f t="shared" si="93"/>
        <v>5772639.0199999996</v>
      </c>
      <c r="E473" s="87">
        <v>0</v>
      </c>
      <c r="F473" s="87">
        <v>5772639.0199999996</v>
      </c>
      <c r="G473" s="87">
        <v>0</v>
      </c>
      <c r="H473" s="87">
        <v>0</v>
      </c>
      <c r="I473" s="75">
        <v>0</v>
      </c>
      <c r="J473" s="152">
        <v>0</v>
      </c>
      <c r="K473" s="75">
        <v>0</v>
      </c>
      <c r="L473" s="87">
        <v>0</v>
      </c>
      <c r="M473" s="75">
        <v>0</v>
      </c>
      <c r="N473" s="75">
        <v>0</v>
      </c>
      <c r="O473" s="75">
        <v>0</v>
      </c>
      <c r="P473" s="87">
        <v>0</v>
      </c>
      <c r="Q473" s="75">
        <v>0</v>
      </c>
      <c r="R473" s="75">
        <v>0</v>
      </c>
      <c r="S473" s="75">
        <v>0</v>
      </c>
      <c r="T473" s="75">
        <v>0</v>
      </c>
      <c r="U473" s="239"/>
      <c r="V473" s="239"/>
    </row>
    <row r="474" spans="1:22" s="186" customFormat="1" ht="22.5" customHeight="1" x14ac:dyDescent="0.25">
      <c r="A474" s="25">
        <v>19</v>
      </c>
      <c r="B474" s="34" t="s">
        <v>1161</v>
      </c>
      <c r="C474" s="75">
        <f t="shared" si="92"/>
        <v>3978457.8499999996</v>
      </c>
      <c r="D474" s="75">
        <f t="shared" si="93"/>
        <v>3209020.8</v>
      </c>
      <c r="E474" s="87">
        <v>0</v>
      </c>
      <c r="F474" s="75">
        <v>0</v>
      </c>
      <c r="G474" s="87">
        <v>2566564.4</v>
      </c>
      <c r="H474" s="87">
        <v>642456.39999999991</v>
      </c>
      <c r="I474" s="75">
        <v>0</v>
      </c>
      <c r="J474" s="152">
        <v>0</v>
      </c>
      <c r="K474" s="75">
        <v>0</v>
      </c>
      <c r="L474" s="75">
        <v>0</v>
      </c>
      <c r="M474" s="75">
        <v>0</v>
      </c>
      <c r="N474" s="75">
        <v>0</v>
      </c>
      <c r="O474" s="75">
        <v>0</v>
      </c>
      <c r="P474" s="87">
        <f>350382+350382</f>
        <v>700764</v>
      </c>
      <c r="Q474" s="75">
        <v>0</v>
      </c>
      <c r="R474" s="75">
        <f>54924.48+13748.57</f>
        <v>68673.05</v>
      </c>
      <c r="S474" s="75">
        <v>0</v>
      </c>
      <c r="T474" s="75">
        <v>0</v>
      </c>
      <c r="U474" s="238"/>
      <c r="V474" s="238"/>
    </row>
    <row r="475" spans="1:22" s="186" customFormat="1" ht="22.5" customHeight="1" x14ac:dyDescent="0.25">
      <c r="A475" s="25">
        <v>20</v>
      </c>
      <c r="B475" s="34" t="s">
        <v>1162</v>
      </c>
      <c r="C475" s="75">
        <f t="shared" si="92"/>
        <v>7316505.1899999995</v>
      </c>
      <c r="D475" s="75">
        <f t="shared" si="93"/>
        <v>5388588.0899999999</v>
      </c>
      <c r="E475" s="87">
        <v>0</v>
      </c>
      <c r="F475" s="87">
        <v>2337914.39</v>
      </c>
      <c r="G475" s="87">
        <v>1851102.7</v>
      </c>
      <c r="H475" s="87">
        <v>463363.69999999995</v>
      </c>
      <c r="I475" s="87">
        <v>736207.29999999993</v>
      </c>
      <c r="J475" s="152">
        <v>0</v>
      </c>
      <c r="K475" s="75">
        <v>0</v>
      </c>
      <c r="L475" s="75">
        <v>0</v>
      </c>
      <c r="M475" s="87">
        <v>0</v>
      </c>
      <c r="N475" s="75">
        <v>0</v>
      </c>
      <c r="O475" s="75">
        <v>0</v>
      </c>
      <c r="P475" s="87">
        <f>589435+589435+589435</f>
        <v>1768305</v>
      </c>
      <c r="Q475" s="75">
        <v>0</v>
      </c>
      <c r="R475" s="75">
        <f>15754.84+39613.6+9915.98+94327.68</f>
        <v>159612.09999999998</v>
      </c>
      <c r="S475" s="75">
        <v>0</v>
      </c>
      <c r="T475" s="75">
        <v>0</v>
      </c>
      <c r="U475" s="238"/>
      <c r="V475" s="238"/>
    </row>
    <row r="476" spans="1:22" s="186" customFormat="1" ht="22.5" customHeight="1" x14ac:dyDescent="0.25">
      <c r="A476" s="25">
        <v>21</v>
      </c>
      <c r="B476" s="34" t="s">
        <v>1163</v>
      </c>
      <c r="C476" s="75">
        <f t="shared" si="92"/>
        <v>2357740</v>
      </c>
      <c r="D476" s="75">
        <f t="shared" si="93"/>
        <v>0</v>
      </c>
      <c r="E476" s="87">
        <v>0</v>
      </c>
      <c r="F476" s="75">
        <v>0</v>
      </c>
      <c r="G476" s="87">
        <v>0</v>
      </c>
      <c r="H476" s="87">
        <v>0</v>
      </c>
      <c r="I476" s="87">
        <v>0</v>
      </c>
      <c r="J476" s="152">
        <v>0</v>
      </c>
      <c r="K476" s="75">
        <v>0</v>
      </c>
      <c r="L476" s="75">
        <v>0</v>
      </c>
      <c r="M476" s="75">
        <v>0</v>
      </c>
      <c r="N476" s="75">
        <v>0</v>
      </c>
      <c r="O476" s="75">
        <v>0</v>
      </c>
      <c r="P476" s="75">
        <f>589435+589435+589435+589435</f>
        <v>2357740</v>
      </c>
      <c r="Q476" s="75">
        <v>0</v>
      </c>
      <c r="R476" s="75">
        <v>0</v>
      </c>
      <c r="S476" s="75">
        <v>0</v>
      </c>
      <c r="T476" s="75">
        <v>0</v>
      </c>
      <c r="U476" s="238"/>
      <c r="V476" s="238"/>
    </row>
    <row r="477" spans="1:22" s="186" customFormat="1" ht="22.5" customHeight="1" x14ac:dyDescent="0.25">
      <c r="A477" s="25">
        <v>22</v>
      </c>
      <c r="B477" s="34" t="s">
        <v>1164</v>
      </c>
      <c r="C477" s="75">
        <f t="shared" si="92"/>
        <v>21741160.280000001</v>
      </c>
      <c r="D477" s="75">
        <f t="shared" si="93"/>
        <v>0</v>
      </c>
      <c r="E477" s="87">
        <v>0</v>
      </c>
      <c r="F477" s="75">
        <v>0</v>
      </c>
      <c r="G477" s="75">
        <v>0</v>
      </c>
      <c r="H477" s="87">
        <v>0</v>
      </c>
      <c r="I477" s="75">
        <v>0</v>
      </c>
      <c r="J477" s="152">
        <v>4</v>
      </c>
      <c r="K477" s="87">
        <v>21051228</v>
      </c>
      <c r="L477" s="75">
        <v>0</v>
      </c>
      <c r="M477" s="75">
        <v>0</v>
      </c>
      <c r="N477" s="75">
        <v>0</v>
      </c>
      <c r="O477" s="75">
        <v>0</v>
      </c>
      <c r="P477" s="75">
        <v>239436</v>
      </c>
      <c r="Q477" s="75">
        <v>0</v>
      </c>
      <c r="R477" s="75">
        <v>450496.28</v>
      </c>
      <c r="S477" s="75">
        <v>0</v>
      </c>
      <c r="T477" s="75">
        <v>0</v>
      </c>
      <c r="U477" s="238"/>
      <c r="V477" s="238"/>
    </row>
    <row r="478" spans="1:22" s="186" customFormat="1" ht="22.5" customHeight="1" x14ac:dyDescent="0.25">
      <c r="A478" s="25">
        <v>23</v>
      </c>
      <c r="B478" s="34" t="s">
        <v>1165</v>
      </c>
      <c r="C478" s="75">
        <f t="shared" si="92"/>
        <v>21741159.280000001</v>
      </c>
      <c r="D478" s="75">
        <f t="shared" si="93"/>
        <v>0</v>
      </c>
      <c r="E478" s="87">
        <v>0</v>
      </c>
      <c r="F478" s="75">
        <v>0</v>
      </c>
      <c r="G478" s="75">
        <v>0</v>
      </c>
      <c r="H478" s="87">
        <v>0</v>
      </c>
      <c r="I478" s="75">
        <v>0</v>
      </c>
      <c r="J478" s="152">
        <v>4</v>
      </c>
      <c r="K478" s="87">
        <v>21051228</v>
      </c>
      <c r="L478" s="75">
        <v>0</v>
      </c>
      <c r="M478" s="75">
        <v>0</v>
      </c>
      <c r="N478" s="75">
        <v>0</v>
      </c>
      <c r="O478" s="75">
        <v>0</v>
      </c>
      <c r="P478" s="75">
        <v>239435</v>
      </c>
      <c r="Q478" s="75">
        <v>0</v>
      </c>
      <c r="R478" s="75">
        <v>450496.28</v>
      </c>
      <c r="S478" s="75">
        <v>0</v>
      </c>
      <c r="T478" s="75">
        <v>0</v>
      </c>
      <c r="U478" s="238"/>
      <c r="V478" s="238"/>
    </row>
    <row r="479" spans="1:22" s="186" customFormat="1" ht="22.5" customHeight="1" x14ac:dyDescent="0.25">
      <c r="A479" s="25">
        <v>24</v>
      </c>
      <c r="B479" s="38" t="s">
        <v>581</v>
      </c>
      <c r="C479" s="75">
        <f t="shared" si="92"/>
        <v>3384916.5900000003</v>
      </c>
      <c r="D479" s="75">
        <f t="shared" si="93"/>
        <v>0</v>
      </c>
      <c r="E479" s="87">
        <v>0</v>
      </c>
      <c r="F479" s="75">
        <v>0</v>
      </c>
      <c r="G479" s="75">
        <v>0</v>
      </c>
      <c r="H479" s="87">
        <v>0</v>
      </c>
      <c r="I479" s="75">
        <v>0</v>
      </c>
      <c r="J479" s="152">
        <v>0</v>
      </c>
      <c r="K479" s="75">
        <v>0</v>
      </c>
      <c r="L479" s="87">
        <v>3312799.68</v>
      </c>
      <c r="M479" s="75">
        <v>0</v>
      </c>
      <c r="N479" s="75">
        <v>0</v>
      </c>
      <c r="O479" s="75">
        <v>0</v>
      </c>
      <c r="P479" s="87">
        <v>0</v>
      </c>
      <c r="Q479" s="75">
        <v>0</v>
      </c>
      <c r="R479" s="75">
        <v>72116.91</v>
      </c>
      <c r="S479" s="75">
        <v>0</v>
      </c>
      <c r="T479" s="75">
        <v>0</v>
      </c>
      <c r="U479" s="238"/>
      <c r="V479" s="238"/>
    </row>
    <row r="480" spans="1:22" s="186" customFormat="1" ht="22.5" customHeight="1" x14ac:dyDescent="0.25">
      <c r="A480" s="25">
        <v>25</v>
      </c>
      <c r="B480" s="39" t="s">
        <v>1166</v>
      </c>
      <c r="C480" s="75">
        <f t="shared" si="92"/>
        <v>14295096.01</v>
      </c>
      <c r="D480" s="75">
        <f t="shared" si="93"/>
        <v>0</v>
      </c>
      <c r="E480" s="87">
        <v>0</v>
      </c>
      <c r="F480" s="87">
        <v>0</v>
      </c>
      <c r="G480" s="87">
        <v>0</v>
      </c>
      <c r="H480" s="87">
        <v>0</v>
      </c>
      <c r="I480" s="87">
        <v>0</v>
      </c>
      <c r="J480" s="152">
        <v>0</v>
      </c>
      <c r="K480" s="75">
        <v>0</v>
      </c>
      <c r="L480" s="75">
        <v>0</v>
      </c>
      <c r="M480" s="75">
        <v>0</v>
      </c>
      <c r="N480" s="75">
        <v>13418505</v>
      </c>
      <c r="O480" s="75">
        <v>0</v>
      </c>
      <c r="P480" s="87">
        <v>589435</v>
      </c>
      <c r="Q480" s="75">
        <v>0</v>
      </c>
      <c r="R480" s="75">
        <v>287156.01</v>
      </c>
      <c r="S480" s="75">
        <v>0</v>
      </c>
      <c r="T480" s="75">
        <v>0</v>
      </c>
      <c r="U480" s="238"/>
      <c r="V480" s="238"/>
    </row>
    <row r="481" spans="1:22" s="186" customFormat="1" ht="22.5" customHeight="1" x14ac:dyDescent="0.25">
      <c r="A481" s="25">
        <v>26</v>
      </c>
      <c r="B481" s="39" t="s">
        <v>1167</v>
      </c>
      <c r="C481" s="75">
        <f t="shared" si="92"/>
        <v>9351698.2100000009</v>
      </c>
      <c r="D481" s="75">
        <f t="shared" si="93"/>
        <v>8469683</v>
      </c>
      <c r="E481" s="87">
        <v>0</v>
      </c>
      <c r="F481" s="87">
        <v>5553599</v>
      </c>
      <c r="G481" s="87">
        <v>2332274.5</v>
      </c>
      <c r="H481" s="87">
        <v>583809.5</v>
      </c>
      <c r="I481" s="75">
        <v>0</v>
      </c>
      <c r="J481" s="152">
        <v>0</v>
      </c>
      <c r="K481" s="75">
        <v>0</v>
      </c>
      <c r="L481" s="75">
        <v>0</v>
      </c>
      <c r="M481" s="75">
        <v>0</v>
      </c>
      <c r="N481" s="75">
        <v>0</v>
      </c>
      <c r="O481" s="75">
        <v>0</v>
      </c>
      <c r="P481" s="87">
        <f>350382+350382</f>
        <v>700764</v>
      </c>
      <c r="Q481" s="75">
        <v>0</v>
      </c>
      <c r="R481" s="75">
        <f>49910.67+12493.52+118847.02</f>
        <v>181251.21000000002</v>
      </c>
      <c r="S481" s="75">
        <v>0</v>
      </c>
      <c r="T481" s="75">
        <v>0</v>
      </c>
      <c r="U481" s="238"/>
      <c r="V481" s="238"/>
    </row>
    <row r="482" spans="1:22" s="186" customFormat="1" ht="22.5" customHeight="1" x14ac:dyDescent="0.25">
      <c r="A482" s="25">
        <v>27</v>
      </c>
      <c r="B482" s="39" t="s">
        <v>1168</v>
      </c>
      <c r="C482" s="75">
        <f t="shared" si="92"/>
        <v>2270935.86</v>
      </c>
      <c r="D482" s="75">
        <f t="shared" si="93"/>
        <v>1703297.3</v>
      </c>
      <c r="E482" s="87">
        <v>0</v>
      </c>
      <c r="F482" s="87">
        <v>1118715.5</v>
      </c>
      <c r="G482" s="87">
        <v>359298.30000000005</v>
      </c>
      <c r="H482" s="87">
        <v>225283.5</v>
      </c>
      <c r="I482" s="75">
        <v>0</v>
      </c>
      <c r="J482" s="152">
        <v>0</v>
      </c>
      <c r="K482" s="75">
        <v>0</v>
      </c>
      <c r="L482" s="75">
        <v>0</v>
      </c>
      <c r="M482" s="75">
        <v>0</v>
      </c>
      <c r="N482" s="75">
        <v>0</v>
      </c>
      <c r="O482" s="75">
        <v>0</v>
      </c>
      <c r="P482" s="87">
        <f t="shared" ref="P482:P484" si="94">265594+265594</f>
        <v>531188</v>
      </c>
      <c r="Q482" s="75">
        <v>0</v>
      </c>
      <c r="R482" s="75">
        <f>7688.98+4821.07+23940.51</f>
        <v>36450.559999999998</v>
      </c>
      <c r="S482" s="75">
        <v>0</v>
      </c>
      <c r="T482" s="75">
        <v>0</v>
      </c>
      <c r="U482" s="238"/>
      <c r="V482" s="238"/>
    </row>
    <row r="483" spans="1:22" s="186" customFormat="1" ht="22.5" customHeight="1" x14ac:dyDescent="0.25">
      <c r="A483" s="25">
        <v>28</v>
      </c>
      <c r="B483" s="39" t="s">
        <v>1169</v>
      </c>
      <c r="C483" s="75">
        <f t="shared" si="92"/>
        <v>2288554.7000000002</v>
      </c>
      <c r="D483" s="75">
        <f t="shared" si="93"/>
        <v>1720547</v>
      </c>
      <c r="E483" s="87">
        <v>0</v>
      </c>
      <c r="F483" s="87">
        <v>1130045</v>
      </c>
      <c r="G483" s="87">
        <v>362937</v>
      </c>
      <c r="H483" s="87">
        <v>227565</v>
      </c>
      <c r="I483" s="75">
        <v>0</v>
      </c>
      <c r="J483" s="152">
        <v>0</v>
      </c>
      <c r="K483" s="75">
        <v>0</v>
      </c>
      <c r="L483" s="75">
        <v>0</v>
      </c>
      <c r="M483" s="75">
        <v>0</v>
      </c>
      <c r="N483" s="75">
        <v>0</v>
      </c>
      <c r="O483" s="75">
        <v>0</v>
      </c>
      <c r="P483" s="87">
        <f t="shared" si="94"/>
        <v>531188</v>
      </c>
      <c r="Q483" s="75">
        <v>0</v>
      </c>
      <c r="R483" s="75">
        <f>7766.85+4869.89+24182.96</f>
        <v>36819.699999999997</v>
      </c>
      <c r="S483" s="75">
        <v>0</v>
      </c>
      <c r="T483" s="75">
        <v>0</v>
      </c>
      <c r="U483" s="238"/>
      <c r="V483" s="238"/>
    </row>
    <row r="484" spans="1:22" s="186" customFormat="1" ht="22.5" customHeight="1" x14ac:dyDescent="0.25">
      <c r="A484" s="25">
        <v>29</v>
      </c>
      <c r="B484" s="39" t="s">
        <v>1170</v>
      </c>
      <c r="C484" s="75">
        <f t="shared" si="92"/>
        <v>2297590.0099999998</v>
      </c>
      <c r="D484" s="75">
        <f t="shared" si="93"/>
        <v>1729393</v>
      </c>
      <c r="E484" s="87">
        <v>0</v>
      </c>
      <c r="F484" s="87">
        <v>1135855</v>
      </c>
      <c r="G484" s="87">
        <v>364803</v>
      </c>
      <c r="H484" s="87">
        <v>228735</v>
      </c>
      <c r="I484" s="75">
        <v>0</v>
      </c>
      <c r="J484" s="152">
        <v>0</v>
      </c>
      <c r="K484" s="75">
        <v>0</v>
      </c>
      <c r="L484" s="75">
        <v>0</v>
      </c>
      <c r="M484" s="75">
        <v>0</v>
      </c>
      <c r="N484" s="75">
        <v>0</v>
      </c>
      <c r="O484" s="75">
        <v>0</v>
      </c>
      <c r="P484" s="87">
        <f t="shared" si="94"/>
        <v>531188</v>
      </c>
      <c r="Q484" s="75">
        <v>0</v>
      </c>
      <c r="R484" s="75">
        <f>7806.78+4894.93+24307.3</f>
        <v>37009.009999999995</v>
      </c>
      <c r="S484" s="75">
        <v>0</v>
      </c>
      <c r="T484" s="75">
        <v>0</v>
      </c>
      <c r="U484" s="238"/>
      <c r="V484" s="238"/>
    </row>
    <row r="485" spans="1:22" s="186" customFormat="1" ht="22.5" customHeight="1" x14ac:dyDescent="0.25">
      <c r="A485" s="25">
        <v>30</v>
      </c>
      <c r="B485" s="39" t="s">
        <v>1171</v>
      </c>
      <c r="C485" s="75">
        <f t="shared" si="92"/>
        <v>3621202.7100000004</v>
      </c>
      <c r="D485" s="75">
        <f t="shared" si="93"/>
        <v>2821431.7</v>
      </c>
      <c r="E485" s="87">
        <v>0</v>
      </c>
      <c r="F485" s="87">
        <v>1853099.5</v>
      </c>
      <c r="G485" s="87">
        <v>595160.69999999995</v>
      </c>
      <c r="H485" s="87">
        <v>373171.5</v>
      </c>
      <c r="I485" s="75">
        <v>0</v>
      </c>
      <c r="J485" s="152">
        <v>0</v>
      </c>
      <c r="K485" s="75">
        <v>0</v>
      </c>
      <c r="L485" s="75">
        <v>0</v>
      </c>
      <c r="M485" s="75">
        <v>0</v>
      </c>
      <c r="N485" s="75">
        <v>0</v>
      </c>
      <c r="O485" s="75">
        <v>0</v>
      </c>
      <c r="P485" s="87">
        <f>208204.37+265594+265594</f>
        <v>739392.37</v>
      </c>
      <c r="Q485" s="75">
        <v>0</v>
      </c>
      <c r="R485" s="75">
        <f>12736.44+7985.87+39656.33</f>
        <v>60378.64</v>
      </c>
      <c r="S485" s="75">
        <v>0</v>
      </c>
      <c r="T485" s="75">
        <v>0</v>
      </c>
      <c r="U485" s="238"/>
      <c r="V485" s="238"/>
    </row>
    <row r="486" spans="1:22" s="186" customFormat="1" ht="22.5" customHeight="1" x14ac:dyDescent="0.25">
      <c r="A486" s="25">
        <v>31</v>
      </c>
      <c r="B486" s="39" t="s">
        <v>1172</v>
      </c>
      <c r="C486" s="75">
        <f t="shared" si="92"/>
        <v>3599901.2499999995</v>
      </c>
      <c r="D486" s="75">
        <f t="shared" si="93"/>
        <v>2801085.8999999994</v>
      </c>
      <c r="E486" s="87">
        <v>0</v>
      </c>
      <c r="F486" s="87">
        <v>1839736.4999999998</v>
      </c>
      <c r="G486" s="87">
        <v>590868.89999999991</v>
      </c>
      <c r="H486" s="87">
        <v>370480.5</v>
      </c>
      <c r="I486" s="75">
        <v>0</v>
      </c>
      <c r="J486" s="152">
        <v>0</v>
      </c>
      <c r="K486" s="75">
        <v>0</v>
      </c>
      <c r="L486" s="75">
        <v>0</v>
      </c>
      <c r="M486" s="75">
        <v>0</v>
      </c>
      <c r="N486" s="75">
        <v>0</v>
      </c>
      <c r="O486" s="75">
        <v>0</v>
      </c>
      <c r="P486" s="87">
        <f>207784.12+265594+265594</f>
        <v>738972.12</v>
      </c>
      <c r="Q486" s="75">
        <v>0</v>
      </c>
      <c r="R486" s="75">
        <f>12644.59+7828.28+39370.36</f>
        <v>59843.229999999996</v>
      </c>
      <c r="S486" s="75">
        <v>0</v>
      </c>
      <c r="T486" s="75">
        <v>0</v>
      </c>
      <c r="U486" s="238"/>
      <c r="V486" s="238"/>
    </row>
    <row r="487" spans="1:22" s="186" customFormat="1" ht="22.5" customHeight="1" x14ac:dyDescent="0.25">
      <c r="A487" s="25">
        <v>32</v>
      </c>
      <c r="B487" s="39" t="s">
        <v>1173</v>
      </c>
      <c r="C487" s="75">
        <f t="shared" si="92"/>
        <v>4051979.49</v>
      </c>
      <c r="D487" s="75">
        <f t="shared" si="93"/>
        <v>3264174</v>
      </c>
      <c r="E487" s="87">
        <v>0</v>
      </c>
      <c r="F487" s="87">
        <v>2143890</v>
      </c>
      <c r="G487" s="87">
        <v>688554</v>
      </c>
      <c r="H487" s="87">
        <v>431730</v>
      </c>
      <c r="I487" s="75">
        <v>0</v>
      </c>
      <c r="J487" s="152">
        <v>0</v>
      </c>
      <c r="K487" s="75">
        <v>0</v>
      </c>
      <c r="L487" s="75">
        <v>0</v>
      </c>
      <c r="M487" s="75">
        <v>0</v>
      </c>
      <c r="N487" s="75">
        <v>0</v>
      </c>
      <c r="O487" s="75">
        <v>0</v>
      </c>
      <c r="P487" s="87">
        <f>186764.16+265594+265594</f>
        <v>717952.16</v>
      </c>
      <c r="Q487" s="75">
        <v>0</v>
      </c>
      <c r="R487" s="75">
        <f>14735.06+9239.02+45879.25</f>
        <v>69853.33</v>
      </c>
      <c r="S487" s="75">
        <v>0</v>
      </c>
      <c r="T487" s="75">
        <v>0</v>
      </c>
      <c r="U487" s="238"/>
      <c r="V487" s="238"/>
    </row>
    <row r="488" spans="1:22" s="186" customFormat="1" ht="22.5" customHeight="1" x14ac:dyDescent="0.25">
      <c r="A488" s="25">
        <v>33</v>
      </c>
      <c r="B488" s="34" t="s">
        <v>1174</v>
      </c>
      <c r="C488" s="75">
        <f t="shared" si="92"/>
        <v>19168150.82</v>
      </c>
      <c r="D488" s="75">
        <f t="shared" si="93"/>
        <v>0</v>
      </c>
      <c r="E488" s="87">
        <v>0</v>
      </c>
      <c r="F488" s="87">
        <v>0</v>
      </c>
      <c r="G488" s="87">
        <v>0</v>
      </c>
      <c r="H488" s="87">
        <v>0</v>
      </c>
      <c r="I488" s="75">
        <v>0</v>
      </c>
      <c r="J488" s="152">
        <v>0</v>
      </c>
      <c r="K488" s="75">
        <v>0</v>
      </c>
      <c r="L488" s="87">
        <v>0</v>
      </c>
      <c r="M488" s="75">
        <v>0</v>
      </c>
      <c r="N488" s="87">
        <v>0</v>
      </c>
      <c r="O488" s="75">
        <v>0</v>
      </c>
      <c r="P488" s="87">
        <v>350382</v>
      </c>
      <c r="Q488" s="75">
        <v>0</v>
      </c>
      <c r="R488" s="75">
        <v>394263.02</v>
      </c>
      <c r="S488" s="75">
        <v>18423505.800000001</v>
      </c>
      <c r="T488" s="75">
        <v>0</v>
      </c>
      <c r="U488" s="239"/>
      <c r="V488" s="239"/>
    </row>
    <row r="489" spans="1:22" s="186" customFormat="1" ht="22.5" customHeight="1" x14ac:dyDescent="0.25">
      <c r="A489" s="25">
        <v>34</v>
      </c>
      <c r="B489" s="34" t="s">
        <v>105</v>
      </c>
      <c r="C489" s="75">
        <f t="shared" si="92"/>
        <v>5278332.09</v>
      </c>
      <c r="D489" s="75">
        <f t="shared" si="93"/>
        <v>5167742.3999999994</v>
      </c>
      <c r="E489" s="87">
        <v>0</v>
      </c>
      <c r="F489" s="87">
        <v>5167742.3999999994</v>
      </c>
      <c r="G489" s="87">
        <v>0</v>
      </c>
      <c r="H489" s="87">
        <v>0</v>
      </c>
      <c r="I489" s="75">
        <v>0</v>
      </c>
      <c r="J489" s="152">
        <v>0</v>
      </c>
      <c r="K489" s="75">
        <v>0</v>
      </c>
      <c r="L489" s="87">
        <v>0</v>
      </c>
      <c r="M489" s="75">
        <v>0</v>
      </c>
      <c r="N489" s="87">
        <v>0</v>
      </c>
      <c r="O489" s="75">
        <v>0</v>
      </c>
      <c r="P489" s="87">
        <v>0</v>
      </c>
      <c r="Q489" s="75">
        <v>0</v>
      </c>
      <c r="R489" s="75">
        <v>110589.69</v>
      </c>
      <c r="S489" s="75">
        <v>0</v>
      </c>
      <c r="T489" s="75">
        <v>0</v>
      </c>
      <c r="U489" s="239"/>
      <c r="V489" s="239"/>
    </row>
    <row r="490" spans="1:22" s="186" customFormat="1" ht="22.5" customHeight="1" x14ac:dyDescent="0.25">
      <c r="A490" s="25">
        <v>35</v>
      </c>
      <c r="B490" s="34" t="s">
        <v>107</v>
      </c>
      <c r="C490" s="75">
        <f t="shared" si="92"/>
        <v>3094672.86</v>
      </c>
      <c r="D490" s="75">
        <f t="shared" si="93"/>
        <v>0</v>
      </c>
      <c r="E490" s="87">
        <v>0</v>
      </c>
      <c r="F490" s="87">
        <v>0</v>
      </c>
      <c r="G490" s="75">
        <v>0</v>
      </c>
      <c r="H490" s="87">
        <v>0</v>
      </c>
      <c r="I490" s="75">
        <v>0</v>
      </c>
      <c r="J490" s="152">
        <v>0</v>
      </c>
      <c r="K490" s="75">
        <v>0</v>
      </c>
      <c r="L490" s="75">
        <v>3029834.4</v>
      </c>
      <c r="M490" s="75">
        <v>0</v>
      </c>
      <c r="N490" s="75">
        <v>0</v>
      </c>
      <c r="O490" s="75">
        <v>0</v>
      </c>
      <c r="P490" s="87">
        <v>0</v>
      </c>
      <c r="Q490" s="75">
        <v>0</v>
      </c>
      <c r="R490" s="75">
        <v>64838.46</v>
      </c>
      <c r="S490" s="75">
        <v>0</v>
      </c>
      <c r="T490" s="75">
        <v>0</v>
      </c>
      <c r="U490" s="238"/>
      <c r="V490" s="238"/>
    </row>
    <row r="491" spans="1:22" s="186" customFormat="1" ht="22.5" customHeight="1" x14ac:dyDescent="0.25">
      <c r="A491" s="25">
        <v>36</v>
      </c>
      <c r="B491" s="34" t="s">
        <v>108</v>
      </c>
      <c r="C491" s="75">
        <f t="shared" si="92"/>
        <v>6465414.7400000002</v>
      </c>
      <c r="D491" s="75">
        <f t="shared" si="93"/>
        <v>5242762.37</v>
      </c>
      <c r="E491" s="87">
        <v>0</v>
      </c>
      <c r="F491" s="87">
        <v>2706433.76</v>
      </c>
      <c r="G491" s="87">
        <v>485720.61</v>
      </c>
      <c r="H491" s="87">
        <v>792097.60000000009</v>
      </c>
      <c r="I491" s="87">
        <v>1258510.4000000001</v>
      </c>
      <c r="J491" s="152">
        <v>0</v>
      </c>
      <c r="K491" s="75">
        <v>0</v>
      </c>
      <c r="L491" s="75">
        <v>0</v>
      </c>
      <c r="M491" s="75">
        <v>0</v>
      </c>
      <c r="N491" s="75">
        <v>0</v>
      </c>
      <c r="O491" s="75">
        <v>0</v>
      </c>
      <c r="P491" s="87">
        <f t="shared" ref="P491:P492" si="95">589435+589435</f>
        <v>1178870</v>
      </c>
      <c r="Q491" s="75">
        <v>0</v>
      </c>
      <c r="R491" s="75">
        <f>26832.12+16950.25</f>
        <v>43782.369999999995</v>
      </c>
      <c r="S491" s="75">
        <v>0</v>
      </c>
      <c r="T491" s="75">
        <v>0</v>
      </c>
      <c r="U491" s="238"/>
      <c r="V491" s="238"/>
    </row>
    <row r="492" spans="1:22" s="186" customFormat="1" ht="22.5" customHeight="1" x14ac:dyDescent="0.25">
      <c r="A492" s="25">
        <v>37</v>
      </c>
      <c r="B492" s="34" t="s">
        <v>1175</v>
      </c>
      <c r="C492" s="75">
        <f t="shared" si="92"/>
        <v>27237756.780000001</v>
      </c>
      <c r="D492" s="75">
        <f t="shared" si="93"/>
        <v>0</v>
      </c>
      <c r="E492" s="87">
        <v>0</v>
      </c>
      <c r="F492" s="87">
        <v>0</v>
      </c>
      <c r="G492" s="87">
        <v>0</v>
      </c>
      <c r="H492" s="87">
        <v>0</v>
      </c>
      <c r="I492" s="87">
        <v>0</v>
      </c>
      <c r="J492" s="152">
        <v>0</v>
      </c>
      <c r="K492" s="75">
        <v>0</v>
      </c>
      <c r="L492" s="75">
        <v>25512910.5</v>
      </c>
      <c r="M492" s="75">
        <v>0</v>
      </c>
      <c r="N492" s="75">
        <v>0</v>
      </c>
      <c r="O492" s="75">
        <v>0</v>
      </c>
      <c r="P492" s="87">
        <f t="shared" si="95"/>
        <v>1178870</v>
      </c>
      <c r="Q492" s="75">
        <v>0</v>
      </c>
      <c r="R492" s="75">
        <v>545976.28</v>
      </c>
      <c r="S492" s="75">
        <v>0</v>
      </c>
      <c r="T492" s="75">
        <v>0</v>
      </c>
      <c r="U492" s="238"/>
      <c r="V492" s="238"/>
    </row>
    <row r="493" spans="1:22" s="186" customFormat="1" ht="22.5" customHeight="1" x14ac:dyDescent="0.25">
      <c r="A493" s="25">
        <v>38</v>
      </c>
      <c r="B493" s="34" t="s">
        <v>110</v>
      </c>
      <c r="C493" s="75">
        <f t="shared" si="92"/>
        <v>10750862.140000001</v>
      </c>
      <c r="D493" s="75">
        <f t="shared" si="93"/>
        <v>0</v>
      </c>
      <c r="E493" s="87">
        <v>0</v>
      </c>
      <c r="F493" s="87">
        <v>0</v>
      </c>
      <c r="G493" s="87">
        <v>0</v>
      </c>
      <c r="H493" s="87">
        <v>0</v>
      </c>
      <c r="I493" s="87">
        <v>0</v>
      </c>
      <c r="J493" s="152">
        <v>2</v>
      </c>
      <c r="K493" s="75">
        <v>10525614</v>
      </c>
      <c r="L493" s="75">
        <v>0</v>
      </c>
      <c r="M493" s="75">
        <v>0</v>
      </c>
      <c r="N493" s="75">
        <v>0</v>
      </c>
      <c r="O493" s="75">
        <v>0</v>
      </c>
      <c r="P493" s="87">
        <v>0</v>
      </c>
      <c r="Q493" s="75">
        <v>0</v>
      </c>
      <c r="R493" s="75">
        <v>225248.14</v>
      </c>
      <c r="S493" s="75">
        <v>0</v>
      </c>
      <c r="T493" s="75">
        <v>0</v>
      </c>
      <c r="U493" s="238"/>
      <c r="V493" s="238"/>
    </row>
    <row r="494" spans="1:22" s="186" customFormat="1" ht="22.5" customHeight="1" x14ac:dyDescent="0.25">
      <c r="A494" s="25">
        <v>39</v>
      </c>
      <c r="B494" s="34" t="s">
        <v>1176</v>
      </c>
      <c r="C494" s="75">
        <f t="shared" si="92"/>
        <v>5614866.0700000003</v>
      </c>
      <c r="D494" s="75">
        <f t="shared" si="93"/>
        <v>0</v>
      </c>
      <c r="E494" s="87">
        <v>0</v>
      </c>
      <c r="F494" s="87">
        <v>0</v>
      </c>
      <c r="G494" s="87">
        <v>0</v>
      </c>
      <c r="H494" s="87">
        <v>0</v>
      </c>
      <c r="I494" s="87">
        <v>0</v>
      </c>
      <c r="J494" s="152">
        <v>1</v>
      </c>
      <c r="K494" s="75">
        <v>5262807</v>
      </c>
      <c r="L494" s="75">
        <v>0</v>
      </c>
      <c r="M494" s="75">
        <v>0</v>
      </c>
      <c r="N494" s="75">
        <v>0</v>
      </c>
      <c r="O494" s="75">
        <v>0</v>
      </c>
      <c r="P494" s="87">
        <v>239435</v>
      </c>
      <c r="Q494" s="75">
        <v>0</v>
      </c>
      <c r="R494" s="75">
        <v>112624.07</v>
      </c>
      <c r="S494" s="75">
        <v>0</v>
      </c>
      <c r="T494" s="75">
        <v>0</v>
      </c>
      <c r="U494" s="238"/>
      <c r="V494" s="238"/>
    </row>
    <row r="495" spans="1:22" s="186" customFormat="1" ht="22.5" customHeight="1" x14ac:dyDescent="0.25">
      <c r="A495" s="25">
        <v>40</v>
      </c>
      <c r="B495" s="34" t="s">
        <v>1177</v>
      </c>
      <c r="C495" s="75">
        <f t="shared" si="92"/>
        <v>10451299.939999999</v>
      </c>
      <c r="D495" s="75">
        <f t="shared" si="93"/>
        <v>0</v>
      </c>
      <c r="E495" s="87">
        <v>0</v>
      </c>
      <c r="F495" s="87">
        <v>0</v>
      </c>
      <c r="G495" s="87">
        <v>0</v>
      </c>
      <c r="H495" s="87">
        <v>0</v>
      </c>
      <c r="I495" s="87">
        <v>0</v>
      </c>
      <c r="J495" s="152">
        <v>0</v>
      </c>
      <c r="K495" s="75">
        <v>0</v>
      </c>
      <c r="L495" s="75">
        <v>9192240</v>
      </c>
      <c r="M495" s="75">
        <v>0</v>
      </c>
      <c r="N495" s="75">
        <v>0</v>
      </c>
      <c r="O495" s="75">
        <v>0</v>
      </c>
      <c r="P495" s="87">
        <f>265564+265594+265594+265594</f>
        <v>1062346</v>
      </c>
      <c r="Q495" s="75">
        <v>0</v>
      </c>
      <c r="R495" s="75">
        <f>196713.94</f>
        <v>196713.94</v>
      </c>
      <c r="S495" s="75">
        <v>0</v>
      </c>
      <c r="T495" s="75">
        <v>0</v>
      </c>
      <c r="U495" s="238"/>
      <c r="V495" s="238"/>
    </row>
    <row r="496" spans="1:22" s="186" customFormat="1" ht="22.5" customHeight="1" x14ac:dyDescent="0.25">
      <c r="A496" s="25">
        <v>41</v>
      </c>
      <c r="B496" s="34" t="s">
        <v>1178</v>
      </c>
      <c r="C496" s="75">
        <f t="shared" si="92"/>
        <v>6158086.96</v>
      </c>
      <c r="D496" s="75">
        <f t="shared" si="93"/>
        <v>0</v>
      </c>
      <c r="E496" s="87">
        <v>0</v>
      </c>
      <c r="F496" s="87">
        <v>0</v>
      </c>
      <c r="G496" s="87">
        <v>0</v>
      </c>
      <c r="H496" s="87">
        <v>0</v>
      </c>
      <c r="I496" s="87">
        <v>0</v>
      </c>
      <c r="J496" s="152">
        <v>0</v>
      </c>
      <c r="K496" s="75">
        <v>0</v>
      </c>
      <c r="L496" s="75">
        <v>5509035.5999999996</v>
      </c>
      <c r="M496" s="75">
        <v>0</v>
      </c>
      <c r="N496" s="75">
        <v>0</v>
      </c>
      <c r="O496" s="75">
        <v>0</v>
      </c>
      <c r="P496" s="87">
        <f>265564+265594</f>
        <v>531158</v>
      </c>
      <c r="Q496" s="75">
        <v>0</v>
      </c>
      <c r="R496" s="75">
        <v>117893.36</v>
      </c>
      <c r="S496" s="75">
        <v>0</v>
      </c>
      <c r="T496" s="75">
        <v>0</v>
      </c>
      <c r="U496" s="238"/>
      <c r="V496" s="238"/>
    </row>
    <row r="497" spans="1:22" s="186" customFormat="1" ht="22.5" customHeight="1" x14ac:dyDescent="0.25">
      <c r="A497" s="25">
        <v>42</v>
      </c>
      <c r="B497" s="34" t="s">
        <v>1179</v>
      </c>
      <c r="C497" s="75">
        <f t="shared" si="92"/>
        <v>22742051.099999998</v>
      </c>
      <c r="D497" s="75">
        <f t="shared" si="93"/>
        <v>0</v>
      </c>
      <c r="E497" s="87">
        <v>0</v>
      </c>
      <c r="F497" s="87">
        <v>0</v>
      </c>
      <c r="G497" s="87">
        <v>0</v>
      </c>
      <c r="H497" s="87">
        <v>0</v>
      </c>
      <c r="I497" s="87">
        <v>0</v>
      </c>
      <c r="J497" s="152">
        <v>0</v>
      </c>
      <c r="K497" s="75">
        <v>0</v>
      </c>
      <c r="L497" s="75">
        <v>21485509.199999999</v>
      </c>
      <c r="M497" s="75">
        <v>0</v>
      </c>
      <c r="N497" s="75">
        <v>0</v>
      </c>
      <c r="O497" s="75">
        <v>0</v>
      </c>
      <c r="P497" s="87">
        <f>265564+265594+265594</f>
        <v>796752</v>
      </c>
      <c r="Q497" s="75">
        <v>0</v>
      </c>
      <c r="R497" s="75">
        <f>459789.9</f>
        <v>459789.9</v>
      </c>
      <c r="S497" s="75">
        <v>0</v>
      </c>
      <c r="T497" s="75">
        <v>0</v>
      </c>
      <c r="U497" s="238"/>
      <c r="V497" s="238"/>
    </row>
    <row r="498" spans="1:22" s="186" customFormat="1" ht="22.5" customHeight="1" x14ac:dyDescent="0.25">
      <c r="A498" s="25">
        <v>43</v>
      </c>
      <c r="B498" s="34" t="s">
        <v>1180</v>
      </c>
      <c r="C498" s="75">
        <f t="shared" si="92"/>
        <v>4174973.77</v>
      </c>
      <c r="D498" s="75">
        <f t="shared" si="93"/>
        <v>3567442.5</v>
      </c>
      <c r="E498" s="87">
        <v>0</v>
      </c>
      <c r="F498" s="87">
        <v>1858909.5</v>
      </c>
      <c r="G498" s="87">
        <v>597026.69999999995</v>
      </c>
      <c r="H498" s="87">
        <v>374341.5</v>
      </c>
      <c r="I498" s="87">
        <v>737164.79999999993</v>
      </c>
      <c r="J498" s="152">
        <v>0</v>
      </c>
      <c r="K498" s="75">
        <v>0</v>
      </c>
      <c r="L498" s="75">
        <v>0</v>
      </c>
      <c r="M498" s="75">
        <v>0</v>
      </c>
      <c r="N498" s="75">
        <v>0</v>
      </c>
      <c r="O498" s="75">
        <v>0</v>
      </c>
      <c r="P498" s="180">
        <f>265594+265594</f>
        <v>531188</v>
      </c>
      <c r="Q498" s="75">
        <v>0</v>
      </c>
      <c r="R498" s="87">
        <f>15775.33+12776.37+8010.91+39780.66</f>
        <v>76343.27</v>
      </c>
      <c r="S498" s="75">
        <v>0</v>
      </c>
      <c r="T498" s="75">
        <v>0</v>
      </c>
      <c r="U498" s="238"/>
      <c r="V498" s="238"/>
    </row>
    <row r="499" spans="1:22" s="186" customFormat="1" ht="22.5" customHeight="1" x14ac:dyDescent="0.25">
      <c r="A499" s="25">
        <v>44</v>
      </c>
      <c r="B499" s="34" t="s">
        <v>1181</v>
      </c>
      <c r="C499" s="75">
        <f t="shared" si="92"/>
        <v>6172478.1699999999</v>
      </c>
      <c r="D499" s="75">
        <f t="shared" si="93"/>
        <v>4070186.17</v>
      </c>
      <c r="E499" s="87">
        <v>4070186.17</v>
      </c>
      <c r="F499" s="75">
        <v>0</v>
      </c>
      <c r="G499" s="75">
        <v>0</v>
      </c>
      <c r="H499" s="87">
        <v>0</v>
      </c>
      <c r="I499" s="75">
        <v>0</v>
      </c>
      <c r="J499" s="152">
        <v>0</v>
      </c>
      <c r="K499" s="75">
        <v>0</v>
      </c>
      <c r="L499" s="87">
        <v>0</v>
      </c>
      <c r="M499" s="75">
        <v>0</v>
      </c>
      <c r="N499" s="87">
        <v>0</v>
      </c>
      <c r="O499" s="75">
        <v>0</v>
      </c>
      <c r="P499" s="87">
        <f>350382+350382+350382+350382+350382+350382</f>
        <v>2102292</v>
      </c>
      <c r="Q499" s="75">
        <v>0</v>
      </c>
      <c r="R499" s="75">
        <v>0</v>
      </c>
      <c r="S499" s="75">
        <v>0</v>
      </c>
      <c r="T499" s="75">
        <v>0</v>
      </c>
      <c r="U499" s="238"/>
      <c r="V499" s="238"/>
    </row>
    <row r="500" spans="1:22" s="23" customFormat="1" ht="22.9" customHeight="1" x14ac:dyDescent="0.25">
      <c r="A500" s="25">
        <v>45</v>
      </c>
      <c r="B500" s="34" t="s">
        <v>948</v>
      </c>
      <c r="C500" s="75">
        <f t="shared" si="92"/>
        <v>2512925.91</v>
      </c>
      <c r="D500" s="75">
        <f t="shared" si="93"/>
        <v>0</v>
      </c>
      <c r="E500" s="87">
        <v>0</v>
      </c>
      <c r="F500" s="75">
        <v>0</v>
      </c>
      <c r="G500" s="75">
        <v>0</v>
      </c>
      <c r="H500" s="87">
        <v>0</v>
      </c>
      <c r="I500" s="75">
        <v>0</v>
      </c>
      <c r="J500" s="152">
        <v>0</v>
      </c>
      <c r="K500" s="75">
        <v>0</v>
      </c>
      <c r="L500" s="87">
        <v>2460276</v>
      </c>
      <c r="M500" s="75">
        <v>0</v>
      </c>
      <c r="N500" s="75">
        <v>0</v>
      </c>
      <c r="O500" s="75">
        <v>0</v>
      </c>
      <c r="P500" s="87">
        <v>0</v>
      </c>
      <c r="Q500" s="75">
        <v>0</v>
      </c>
      <c r="R500" s="75">
        <v>52649.91</v>
      </c>
      <c r="S500" s="75">
        <v>0</v>
      </c>
      <c r="T500" s="75">
        <v>0</v>
      </c>
      <c r="U500" s="238"/>
      <c r="V500" s="238"/>
    </row>
    <row r="501" spans="1:22" s="23" customFormat="1" ht="22.9" customHeight="1" x14ac:dyDescent="0.25">
      <c r="A501" s="25">
        <v>46</v>
      </c>
      <c r="B501" s="34" t="s">
        <v>118</v>
      </c>
      <c r="C501" s="75">
        <f t="shared" si="92"/>
        <v>2547866.31</v>
      </c>
      <c r="D501" s="75">
        <f t="shared" si="93"/>
        <v>0</v>
      </c>
      <c r="E501" s="87">
        <v>0</v>
      </c>
      <c r="F501" s="75">
        <v>0</v>
      </c>
      <c r="G501" s="75">
        <v>0</v>
      </c>
      <c r="H501" s="87">
        <v>0</v>
      </c>
      <c r="I501" s="75">
        <v>0</v>
      </c>
      <c r="J501" s="152">
        <v>0</v>
      </c>
      <c r="K501" s="75">
        <v>0</v>
      </c>
      <c r="L501" s="87">
        <v>2547866.31</v>
      </c>
      <c r="M501" s="75">
        <v>0</v>
      </c>
      <c r="N501" s="75">
        <v>0</v>
      </c>
      <c r="O501" s="75">
        <v>0</v>
      </c>
      <c r="P501" s="87">
        <v>0</v>
      </c>
      <c r="Q501" s="75">
        <v>0</v>
      </c>
      <c r="R501" s="75">
        <v>0</v>
      </c>
      <c r="S501" s="75">
        <v>0</v>
      </c>
      <c r="T501" s="75">
        <v>0</v>
      </c>
      <c r="U501" s="238"/>
      <c r="V501" s="238"/>
    </row>
    <row r="502" spans="1:22" s="44" customFormat="1" ht="22.9" customHeight="1" x14ac:dyDescent="0.25">
      <c r="A502" s="25">
        <v>47</v>
      </c>
      <c r="B502" s="34" t="s">
        <v>1182</v>
      </c>
      <c r="C502" s="75">
        <f t="shared" si="92"/>
        <v>1016246.5700000001</v>
      </c>
      <c r="D502" s="75">
        <f t="shared" si="93"/>
        <v>474895.8</v>
      </c>
      <c r="E502" s="87">
        <v>0</v>
      </c>
      <c r="F502" s="87">
        <v>0</v>
      </c>
      <c r="G502" s="75">
        <v>0</v>
      </c>
      <c r="H502" s="87">
        <v>159939</v>
      </c>
      <c r="I502" s="87">
        <v>314956.79999999999</v>
      </c>
      <c r="J502" s="152">
        <v>0</v>
      </c>
      <c r="K502" s="75">
        <v>0</v>
      </c>
      <c r="L502" s="75">
        <v>0</v>
      </c>
      <c r="M502" s="75">
        <v>0</v>
      </c>
      <c r="N502" s="75">
        <v>0</v>
      </c>
      <c r="O502" s="75">
        <v>0</v>
      </c>
      <c r="P502" s="87">
        <f>265594+265594</f>
        <v>531188</v>
      </c>
      <c r="Q502" s="75">
        <v>0</v>
      </c>
      <c r="R502" s="75">
        <f>6740.08+3422.69</f>
        <v>10162.77</v>
      </c>
      <c r="S502" s="75">
        <v>0</v>
      </c>
      <c r="T502" s="75">
        <v>0</v>
      </c>
      <c r="U502" s="238"/>
      <c r="V502" s="238"/>
    </row>
    <row r="503" spans="1:22" s="40" customFormat="1" ht="22.9" customHeight="1" x14ac:dyDescent="0.25">
      <c r="A503" s="25">
        <v>48</v>
      </c>
      <c r="B503" s="34" t="s">
        <v>1183</v>
      </c>
      <c r="C503" s="75">
        <f t="shared" si="92"/>
        <v>2780360.88</v>
      </c>
      <c r="D503" s="75">
        <f t="shared" si="93"/>
        <v>0</v>
      </c>
      <c r="E503" s="87">
        <v>0</v>
      </c>
      <c r="F503" s="75">
        <v>0</v>
      </c>
      <c r="G503" s="75">
        <v>0</v>
      </c>
      <c r="H503" s="87">
        <v>0</v>
      </c>
      <c r="I503" s="75">
        <v>0</v>
      </c>
      <c r="J503" s="152">
        <v>0</v>
      </c>
      <c r="K503" s="75">
        <v>0</v>
      </c>
      <c r="L503" s="87">
        <v>2462078.4</v>
      </c>
      <c r="M503" s="75">
        <v>0</v>
      </c>
      <c r="N503" s="75">
        <v>0</v>
      </c>
      <c r="O503" s="75">
        <v>0</v>
      </c>
      <c r="P503" s="75">
        <v>265594</v>
      </c>
      <c r="Q503" s="75">
        <v>0</v>
      </c>
      <c r="R503" s="75">
        <v>52688.480000000003</v>
      </c>
      <c r="S503" s="75">
        <v>0</v>
      </c>
      <c r="T503" s="75">
        <v>0</v>
      </c>
      <c r="U503" s="238"/>
      <c r="V503" s="238"/>
    </row>
    <row r="504" spans="1:22" s="186" customFormat="1" ht="22.15" customHeight="1" x14ac:dyDescent="0.25">
      <c r="A504" s="25">
        <v>49</v>
      </c>
      <c r="B504" s="34" t="s">
        <v>590</v>
      </c>
      <c r="C504" s="75">
        <f t="shared" si="92"/>
        <v>1261306.53</v>
      </c>
      <c r="D504" s="75">
        <f t="shared" si="93"/>
        <v>0</v>
      </c>
      <c r="E504" s="87">
        <v>0</v>
      </c>
      <c r="F504" s="75">
        <v>0</v>
      </c>
      <c r="G504" s="75">
        <v>0</v>
      </c>
      <c r="H504" s="87">
        <v>0</v>
      </c>
      <c r="I504" s="75">
        <v>0</v>
      </c>
      <c r="J504" s="152">
        <v>0</v>
      </c>
      <c r="K504" s="75">
        <v>0</v>
      </c>
      <c r="L504" s="87">
        <v>0</v>
      </c>
      <c r="M504" s="75">
        <v>0</v>
      </c>
      <c r="N504" s="75">
        <v>1234880.1000000001</v>
      </c>
      <c r="O504" s="75">
        <v>0</v>
      </c>
      <c r="P504" s="75">
        <v>0</v>
      </c>
      <c r="Q504" s="75">
        <v>0</v>
      </c>
      <c r="R504" s="75">
        <v>26426.43</v>
      </c>
      <c r="S504" s="75">
        <v>0</v>
      </c>
      <c r="T504" s="75">
        <v>0</v>
      </c>
      <c r="U504" s="238"/>
      <c r="V504" s="238"/>
    </row>
    <row r="505" spans="1:22" s="186" customFormat="1" ht="22.15" customHeight="1" x14ac:dyDescent="0.25">
      <c r="A505" s="25">
        <v>50</v>
      </c>
      <c r="B505" s="34" t="s">
        <v>1184</v>
      </c>
      <c r="C505" s="75">
        <f t="shared" si="92"/>
        <v>5964866.0700000003</v>
      </c>
      <c r="D505" s="75">
        <f t="shared" si="93"/>
        <v>0</v>
      </c>
      <c r="E505" s="87">
        <v>0</v>
      </c>
      <c r="F505" s="75">
        <v>0</v>
      </c>
      <c r="G505" s="75">
        <v>0</v>
      </c>
      <c r="H505" s="87">
        <v>0</v>
      </c>
      <c r="I505" s="75">
        <v>0</v>
      </c>
      <c r="J505" s="152">
        <v>1</v>
      </c>
      <c r="K505" s="75">
        <v>5262807</v>
      </c>
      <c r="L505" s="87">
        <v>0</v>
      </c>
      <c r="M505" s="75">
        <v>0</v>
      </c>
      <c r="N505" s="75">
        <v>0</v>
      </c>
      <c r="O505" s="75">
        <v>0</v>
      </c>
      <c r="P505" s="75">
        <v>589435</v>
      </c>
      <c r="Q505" s="75">
        <v>0</v>
      </c>
      <c r="R505" s="75">
        <v>112624.07</v>
      </c>
      <c r="S505" s="75">
        <v>0</v>
      </c>
      <c r="T505" s="75">
        <v>0</v>
      </c>
      <c r="U505" s="238"/>
      <c r="V505" s="238"/>
    </row>
    <row r="506" spans="1:22" s="186" customFormat="1" ht="22.15" customHeight="1" x14ac:dyDescent="0.25">
      <c r="A506" s="25">
        <v>51</v>
      </c>
      <c r="B506" s="38" t="s">
        <v>121</v>
      </c>
      <c r="C506" s="75">
        <f t="shared" si="92"/>
        <v>8228321.7000000002</v>
      </c>
      <c r="D506" s="75">
        <f t="shared" si="93"/>
        <v>0</v>
      </c>
      <c r="E506" s="87">
        <v>0</v>
      </c>
      <c r="F506" s="75">
        <v>0</v>
      </c>
      <c r="G506" s="75">
        <v>0</v>
      </c>
      <c r="H506" s="87">
        <v>0</v>
      </c>
      <c r="I506" s="75">
        <v>0</v>
      </c>
      <c r="J506" s="152">
        <v>0</v>
      </c>
      <c r="K506" s="75">
        <v>0</v>
      </c>
      <c r="L506" s="87">
        <v>4920993.9000000004</v>
      </c>
      <c r="M506" s="75">
        <v>0</v>
      </c>
      <c r="N506" s="75">
        <v>3125294.09</v>
      </c>
      <c r="O506" s="75">
        <v>0</v>
      </c>
      <c r="P506" s="87">
        <v>0</v>
      </c>
      <c r="Q506" s="75">
        <v>0</v>
      </c>
      <c r="R506" s="75">
        <f>115631.35+66402.36</f>
        <v>182033.71000000002</v>
      </c>
      <c r="S506" s="75">
        <v>0</v>
      </c>
      <c r="T506" s="75">
        <v>0</v>
      </c>
      <c r="U506" s="238"/>
      <c r="V506" s="238"/>
    </row>
    <row r="507" spans="1:22" s="186" customFormat="1" ht="22.5" customHeight="1" x14ac:dyDescent="0.25">
      <c r="A507" s="25">
        <v>52</v>
      </c>
      <c r="B507" s="34" t="s">
        <v>125</v>
      </c>
      <c r="C507" s="75">
        <f t="shared" si="92"/>
        <v>4106769.53</v>
      </c>
      <c r="D507" s="75">
        <f t="shared" si="93"/>
        <v>0</v>
      </c>
      <c r="E507" s="87">
        <v>0</v>
      </c>
      <c r="F507" s="75">
        <v>0</v>
      </c>
      <c r="G507" s="75">
        <v>0</v>
      </c>
      <c r="H507" s="87">
        <v>0</v>
      </c>
      <c r="I507" s="87">
        <v>0</v>
      </c>
      <c r="J507" s="152">
        <v>0</v>
      </c>
      <c r="K507" s="75">
        <v>0</v>
      </c>
      <c r="L507" s="87">
        <v>4012449.86</v>
      </c>
      <c r="M507" s="75">
        <v>0</v>
      </c>
      <c r="N507" s="75">
        <v>0</v>
      </c>
      <c r="O507" s="75">
        <v>0</v>
      </c>
      <c r="P507" s="87">
        <v>0</v>
      </c>
      <c r="Q507" s="75">
        <v>0</v>
      </c>
      <c r="R507" s="75">
        <v>94319.67</v>
      </c>
      <c r="S507" s="75">
        <v>0</v>
      </c>
      <c r="T507" s="75">
        <v>0</v>
      </c>
      <c r="U507" s="239"/>
      <c r="V507" s="239"/>
    </row>
    <row r="508" spans="1:22" s="186" customFormat="1" ht="22.5" customHeight="1" x14ac:dyDescent="0.25">
      <c r="A508" s="25">
        <v>53</v>
      </c>
      <c r="B508" s="34" t="s">
        <v>1185</v>
      </c>
      <c r="C508" s="75">
        <f t="shared" si="92"/>
        <v>1751910</v>
      </c>
      <c r="D508" s="75">
        <f t="shared" si="93"/>
        <v>0</v>
      </c>
      <c r="E508" s="87">
        <v>0</v>
      </c>
      <c r="F508" s="87">
        <v>0</v>
      </c>
      <c r="G508" s="75">
        <v>0</v>
      </c>
      <c r="H508" s="87">
        <v>0</v>
      </c>
      <c r="I508" s="75">
        <v>0</v>
      </c>
      <c r="J508" s="152">
        <v>0</v>
      </c>
      <c r="K508" s="75">
        <v>0</v>
      </c>
      <c r="L508" s="87">
        <v>0</v>
      </c>
      <c r="M508" s="75">
        <v>0</v>
      </c>
      <c r="N508" s="75">
        <v>0</v>
      </c>
      <c r="O508" s="75">
        <v>0</v>
      </c>
      <c r="P508" s="87">
        <f>350382+350382+350382+350382+350382</f>
        <v>1751910</v>
      </c>
      <c r="Q508" s="87">
        <v>0</v>
      </c>
      <c r="R508" s="75">
        <v>0</v>
      </c>
      <c r="S508" s="75">
        <v>0</v>
      </c>
      <c r="T508" s="75">
        <v>0</v>
      </c>
      <c r="U508" s="239"/>
      <c r="V508" s="239"/>
    </row>
    <row r="509" spans="1:22" s="186" customFormat="1" ht="22.5" customHeight="1" x14ac:dyDescent="0.25">
      <c r="A509" s="25">
        <v>54</v>
      </c>
      <c r="B509" s="34" t="s">
        <v>1186</v>
      </c>
      <c r="C509" s="75">
        <f t="shared" si="92"/>
        <v>5840299.6600000001</v>
      </c>
      <c r="D509" s="75">
        <f t="shared" si="93"/>
        <v>4634707.25</v>
      </c>
      <c r="E509" s="87">
        <v>0</v>
      </c>
      <c r="F509" s="87">
        <v>4634707.25</v>
      </c>
      <c r="G509" s="75">
        <v>0</v>
      </c>
      <c r="H509" s="87">
        <v>0</v>
      </c>
      <c r="I509" s="75">
        <v>0</v>
      </c>
      <c r="J509" s="152">
        <v>0</v>
      </c>
      <c r="K509" s="75">
        <v>0</v>
      </c>
      <c r="L509" s="87">
        <v>0</v>
      </c>
      <c r="M509" s="75">
        <v>0</v>
      </c>
      <c r="N509" s="75">
        <v>0</v>
      </c>
      <c r="O509" s="75">
        <v>0</v>
      </c>
      <c r="P509" s="87">
        <f t="shared" ref="P509:P511" si="96">514458+514458</f>
        <v>1028916</v>
      </c>
      <c r="Q509" s="87">
        <v>0</v>
      </c>
      <c r="R509" s="75">
        <v>176676.41</v>
      </c>
      <c r="S509" s="75">
        <v>0</v>
      </c>
      <c r="T509" s="75">
        <v>0</v>
      </c>
      <c r="U509" s="239"/>
      <c r="V509" s="239"/>
    </row>
    <row r="510" spans="1:22" s="186" customFormat="1" ht="22.5" customHeight="1" x14ac:dyDescent="0.25">
      <c r="A510" s="25">
        <v>55</v>
      </c>
      <c r="B510" s="34" t="s">
        <v>1187</v>
      </c>
      <c r="C510" s="75">
        <f t="shared" si="92"/>
        <v>1028916</v>
      </c>
      <c r="D510" s="75">
        <f t="shared" si="93"/>
        <v>0</v>
      </c>
      <c r="E510" s="87">
        <v>0</v>
      </c>
      <c r="F510" s="87">
        <v>0</v>
      </c>
      <c r="G510" s="75">
        <v>0</v>
      </c>
      <c r="H510" s="87">
        <v>0</v>
      </c>
      <c r="I510" s="75">
        <v>0</v>
      </c>
      <c r="J510" s="152">
        <v>0</v>
      </c>
      <c r="K510" s="75">
        <v>0</v>
      </c>
      <c r="L510" s="87">
        <v>0</v>
      </c>
      <c r="M510" s="75">
        <v>0</v>
      </c>
      <c r="N510" s="75">
        <v>0</v>
      </c>
      <c r="O510" s="75">
        <v>0</v>
      </c>
      <c r="P510" s="87">
        <f t="shared" si="96"/>
        <v>1028916</v>
      </c>
      <c r="Q510" s="87">
        <v>0</v>
      </c>
      <c r="R510" s="75">
        <v>0</v>
      </c>
      <c r="S510" s="75">
        <v>0</v>
      </c>
      <c r="T510" s="75">
        <v>0</v>
      </c>
      <c r="U510" s="239"/>
      <c r="V510" s="239"/>
    </row>
    <row r="511" spans="1:22" s="186" customFormat="1" ht="22.5" customHeight="1" x14ac:dyDescent="0.25">
      <c r="A511" s="25">
        <v>56</v>
      </c>
      <c r="B511" s="34" t="s">
        <v>1188</v>
      </c>
      <c r="C511" s="75">
        <f t="shared" si="92"/>
        <v>1028916</v>
      </c>
      <c r="D511" s="75">
        <f t="shared" si="93"/>
        <v>0</v>
      </c>
      <c r="E511" s="87">
        <v>0</v>
      </c>
      <c r="F511" s="87">
        <v>0</v>
      </c>
      <c r="G511" s="75">
        <v>0</v>
      </c>
      <c r="H511" s="87">
        <v>0</v>
      </c>
      <c r="I511" s="75">
        <v>0</v>
      </c>
      <c r="J511" s="152">
        <v>0</v>
      </c>
      <c r="K511" s="75">
        <v>0</v>
      </c>
      <c r="L511" s="87">
        <v>0</v>
      </c>
      <c r="M511" s="75">
        <v>0</v>
      </c>
      <c r="N511" s="75">
        <v>0</v>
      </c>
      <c r="O511" s="75">
        <v>0</v>
      </c>
      <c r="P511" s="87">
        <f t="shared" si="96"/>
        <v>1028916</v>
      </c>
      <c r="Q511" s="87">
        <v>0</v>
      </c>
      <c r="R511" s="75">
        <v>0</v>
      </c>
      <c r="S511" s="75">
        <v>0</v>
      </c>
      <c r="T511" s="75">
        <v>0</v>
      </c>
      <c r="U511" s="239"/>
      <c r="V511" s="239"/>
    </row>
    <row r="512" spans="1:22" s="186" customFormat="1" ht="22.5" customHeight="1" x14ac:dyDescent="0.25">
      <c r="A512" s="25">
        <v>57</v>
      </c>
      <c r="B512" s="34" t="s">
        <v>131</v>
      </c>
      <c r="C512" s="75">
        <f t="shared" si="92"/>
        <v>6105235.8599999994</v>
      </c>
      <c r="D512" s="75">
        <f t="shared" si="93"/>
        <v>0</v>
      </c>
      <c r="E512" s="87">
        <v>0</v>
      </c>
      <c r="F512" s="87">
        <v>0</v>
      </c>
      <c r="G512" s="87">
        <v>0</v>
      </c>
      <c r="H512" s="87">
        <v>0</v>
      </c>
      <c r="I512" s="75">
        <v>0</v>
      </c>
      <c r="J512" s="152">
        <v>0</v>
      </c>
      <c r="K512" s="75">
        <v>0</v>
      </c>
      <c r="L512" s="87">
        <v>5906453.0599999996</v>
      </c>
      <c r="M512" s="75">
        <v>0</v>
      </c>
      <c r="N512" s="75">
        <v>0</v>
      </c>
      <c r="O512" s="75">
        <v>0</v>
      </c>
      <c r="P512" s="87">
        <v>0</v>
      </c>
      <c r="Q512" s="75">
        <v>0</v>
      </c>
      <c r="R512" s="75">
        <v>198782.8</v>
      </c>
      <c r="S512" s="75">
        <v>0</v>
      </c>
      <c r="T512" s="75">
        <v>0</v>
      </c>
      <c r="U512" s="239"/>
      <c r="V512" s="239"/>
    </row>
    <row r="513" spans="1:39" s="186" customFormat="1" ht="22.5" customHeight="1" x14ac:dyDescent="0.25">
      <c r="A513" s="25">
        <v>58</v>
      </c>
      <c r="B513" s="34" t="s">
        <v>1189</v>
      </c>
      <c r="C513" s="75">
        <f t="shared" si="92"/>
        <v>2138613.87</v>
      </c>
      <c r="D513" s="75">
        <f t="shared" si="93"/>
        <v>1750765.5</v>
      </c>
      <c r="E513" s="87">
        <v>0</v>
      </c>
      <c r="F513" s="75">
        <v>0</v>
      </c>
      <c r="G513" s="75">
        <v>0</v>
      </c>
      <c r="H513" s="87">
        <v>0</v>
      </c>
      <c r="I513" s="75">
        <v>1750765.5</v>
      </c>
      <c r="J513" s="152">
        <v>0</v>
      </c>
      <c r="K513" s="75">
        <v>0</v>
      </c>
      <c r="L513" s="75">
        <v>0</v>
      </c>
      <c r="M513" s="75">
        <v>0</v>
      </c>
      <c r="N513" s="75">
        <v>0</v>
      </c>
      <c r="O513" s="75">
        <v>0</v>
      </c>
      <c r="P513" s="87">
        <v>350382</v>
      </c>
      <c r="Q513" s="75">
        <v>0</v>
      </c>
      <c r="R513" s="75">
        <v>37466.370000000003</v>
      </c>
      <c r="S513" s="87">
        <v>0</v>
      </c>
      <c r="T513" s="75">
        <v>0</v>
      </c>
      <c r="U513" s="239"/>
      <c r="V513" s="239"/>
    </row>
    <row r="514" spans="1:39" s="186" customFormat="1" ht="22.5" customHeight="1" x14ac:dyDescent="0.25">
      <c r="A514" s="25">
        <v>59</v>
      </c>
      <c r="B514" s="34" t="s">
        <v>136</v>
      </c>
      <c r="C514" s="75">
        <f t="shared" si="92"/>
        <v>3695801.6</v>
      </c>
      <c r="D514" s="75">
        <f t="shared" si="93"/>
        <v>3695801.6</v>
      </c>
      <c r="E514" s="87">
        <v>0</v>
      </c>
      <c r="F514" s="87">
        <v>3695801.6</v>
      </c>
      <c r="G514" s="75">
        <v>0</v>
      </c>
      <c r="H514" s="87">
        <v>0</v>
      </c>
      <c r="I514" s="75">
        <v>0</v>
      </c>
      <c r="J514" s="152">
        <v>0</v>
      </c>
      <c r="K514" s="75">
        <v>0</v>
      </c>
      <c r="L514" s="75">
        <v>0</v>
      </c>
      <c r="M514" s="75">
        <v>0</v>
      </c>
      <c r="N514" s="75">
        <v>0</v>
      </c>
      <c r="O514" s="75">
        <v>0</v>
      </c>
      <c r="P514" s="87">
        <v>0</v>
      </c>
      <c r="Q514" s="75">
        <v>0</v>
      </c>
      <c r="R514" s="75">
        <v>0</v>
      </c>
      <c r="S514" s="75">
        <v>0</v>
      </c>
      <c r="T514" s="75">
        <v>0</v>
      </c>
      <c r="U514" s="239"/>
      <c r="V514" s="239"/>
    </row>
    <row r="515" spans="1:39" s="186" customFormat="1" ht="22.5" customHeight="1" x14ac:dyDescent="0.25">
      <c r="A515" s="25">
        <v>60</v>
      </c>
      <c r="B515" s="34" t="s">
        <v>138</v>
      </c>
      <c r="C515" s="75">
        <f t="shared" si="92"/>
        <v>3911748.44</v>
      </c>
      <c r="D515" s="75">
        <f t="shared" si="93"/>
        <v>3911748.44</v>
      </c>
      <c r="E515" s="87">
        <v>0</v>
      </c>
      <c r="F515" s="87">
        <v>3911748.44</v>
      </c>
      <c r="G515" s="87">
        <v>0</v>
      </c>
      <c r="H515" s="87">
        <v>0</v>
      </c>
      <c r="I515" s="75">
        <v>0</v>
      </c>
      <c r="J515" s="152">
        <v>0</v>
      </c>
      <c r="K515" s="75">
        <v>0</v>
      </c>
      <c r="L515" s="75">
        <v>0</v>
      </c>
      <c r="M515" s="75">
        <v>0</v>
      </c>
      <c r="N515" s="75">
        <v>0</v>
      </c>
      <c r="O515" s="75">
        <v>0</v>
      </c>
      <c r="P515" s="87">
        <v>0</v>
      </c>
      <c r="Q515" s="75">
        <v>0</v>
      </c>
      <c r="R515" s="75">
        <v>0</v>
      </c>
      <c r="S515" s="75">
        <v>0</v>
      </c>
      <c r="T515" s="75">
        <v>0</v>
      </c>
      <c r="U515" s="239"/>
      <c r="V515" s="239"/>
    </row>
    <row r="516" spans="1:39" s="44" customFormat="1" ht="23.45" customHeight="1" x14ac:dyDescent="0.25">
      <c r="A516" s="25">
        <v>61</v>
      </c>
      <c r="B516" s="34" t="s">
        <v>146</v>
      </c>
      <c r="C516" s="75">
        <f t="shared" si="92"/>
        <v>23522881.729999997</v>
      </c>
      <c r="D516" s="75">
        <f t="shared" si="93"/>
        <v>0</v>
      </c>
      <c r="E516" s="87">
        <v>0</v>
      </c>
      <c r="F516" s="87">
        <v>0</v>
      </c>
      <c r="G516" s="87">
        <v>0</v>
      </c>
      <c r="H516" s="87">
        <v>0</v>
      </c>
      <c r="I516" s="75">
        <v>0</v>
      </c>
      <c r="J516" s="152">
        <v>0</v>
      </c>
      <c r="K516" s="75">
        <v>0</v>
      </c>
      <c r="L516" s="75">
        <v>23030038.899999999</v>
      </c>
      <c r="M516" s="75">
        <v>0</v>
      </c>
      <c r="N516" s="75">
        <v>0</v>
      </c>
      <c r="O516" s="75">
        <v>0</v>
      </c>
      <c r="P516" s="87">
        <v>0</v>
      </c>
      <c r="Q516" s="75">
        <v>0</v>
      </c>
      <c r="R516" s="75">
        <v>492842.83</v>
      </c>
      <c r="S516" s="75">
        <v>0</v>
      </c>
      <c r="T516" s="75">
        <v>0</v>
      </c>
      <c r="U516" s="239"/>
      <c r="V516" s="239"/>
    </row>
    <row r="517" spans="1:39" s="44" customFormat="1" ht="23.45" customHeight="1" x14ac:dyDescent="0.25">
      <c r="A517" s="25">
        <v>62</v>
      </c>
      <c r="B517" s="38" t="s">
        <v>148</v>
      </c>
      <c r="C517" s="75">
        <f t="shared" si="92"/>
        <v>15333040.25</v>
      </c>
      <c r="D517" s="75">
        <f t="shared" si="93"/>
        <v>0</v>
      </c>
      <c r="E517" s="87">
        <v>0</v>
      </c>
      <c r="F517" s="75">
        <v>0</v>
      </c>
      <c r="G517" s="75">
        <v>0</v>
      </c>
      <c r="H517" s="87">
        <v>0</v>
      </c>
      <c r="I517" s="75">
        <v>0</v>
      </c>
      <c r="J517" s="152">
        <v>0</v>
      </c>
      <c r="K517" s="75">
        <v>0</v>
      </c>
      <c r="L517" s="87">
        <v>14831390.09</v>
      </c>
      <c r="M517" s="75">
        <v>0</v>
      </c>
      <c r="N517" s="75">
        <v>0</v>
      </c>
      <c r="O517" s="75">
        <v>0</v>
      </c>
      <c r="P517" s="87">
        <v>0</v>
      </c>
      <c r="Q517" s="75">
        <v>0</v>
      </c>
      <c r="R517" s="75">
        <v>501650.16</v>
      </c>
      <c r="S517" s="75">
        <v>0</v>
      </c>
      <c r="T517" s="75">
        <v>0</v>
      </c>
      <c r="U517" s="239"/>
      <c r="V517" s="239"/>
    </row>
    <row r="518" spans="1:39" s="44" customFormat="1" ht="23.45" customHeight="1" x14ac:dyDescent="0.25">
      <c r="A518" s="25">
        <v>63</v>
      </c>
      <c r="B518" s="38" t="s">
        <v>1190</v>
      </c>
      <c r="C518" s="75">
        <f t="shared" si="92"/>
        <v>5329185.7300000004</v>
      </c>
      <c r="D518" s="75">
        <f t="shared" si="93"/>
        <v>0</v>
      </c>
      <c r="E518" s="87">
        <v>0</v>
      </c>
      <c r="F518" s="75">
        <v>0</v>
      </c>
      <c r="G518" s="75">
        <v>0</v>
      </c>
      <c r="H518" s="87">
        <v>0</v>
      </c>
      <c r="I518" s="75">
        <v>0</v>
      </c>
      <c r="J518" s="152">
        <v>0</v>
      </c>
      <c r="K518" s="75">
        <v>0</v>
      </c>
      <c r="L518" s="87">
        <v>4957501.2</v>
      </c>
      <c r="M518" s="75">
        <v>0</v>
      </c>
      <c r="N518" s="75">
        <v>0</v>
      </c>
      <c r="O518" s="75">
        <v>0</v>
      </c>
      <c r="P518" s="87">
        <v>265594</v>
      </c>
      <c r="Q518" s="75">
        <v>0</v>
      </c>
      <c r="R518" s="75">
        <v>106090.53</v>
      </c>
      <c r="S518" s="75">
        <v>0</v>
      </c>
      <c r="T518" s="75">
        <v>0</v>
      </c>
      <c r="U518" s="239"/>
      <c r="V518" s="239"/>
    </row>
    <row r="519" spans="1:39" s="23" customFormat="1" ht="21.6" customHeight="1" x14ac:dyDescent="0.25">
      <c r="A519" s="25">
        <v>64</v>
      </c>
      <c r="B519" s="34" t="s">
        <v>1191</v>
      </c>
      <c r="C519" s="75">
        <f t="shared" si="92"/>
        <v>10576704.02</v>
      </c>
      <c r="D519" s="75">
        <f t="shared" si="93"/>
        <v>9778019.4000000004</v>
      </c>
      <c r="E519" s="87">
        <v>0</v>
      </c>
      <c r="F519" s="87">
        <v>8847903.5999999996</v>
      </c>
      <c r="G519" s="75">
        <v>0</v>
      </c>
      <c r="H519" s="87">
        <v>930115.8</v>
      </c>
      <c r="I519" s="75">
        <v>0</v>
      </c>
      <c r="J519" s="152">
        <v>0</v>
      </c>
      <c r="K519" s="75">
        <v>0</v>
      </c>
      <c r="L519" s="75">
        <v>0</v>
      </c>
      <c r="M519" s="75">
        <v>0</v>
      </c>
      <c r="N519" s="75">
        <v>0</v>
      </c>
      <c r="O519" s="75">
        <v>0</v>
      </c>
      <c r="P519" s="87">
        <v>589435</v>
      </c>
      <c r="Q519" s="75">
        <v>0</v>
      </c>
      <c r="R519" s="75">
        <f>19904.48+189345.14</f>
        <v>209249.62000000002</v>
      </c>
      <c r="S519" s="75">
        <v>0</v>
      </c>
      <c r="T519" s="75">
        <v>0</v>
      </c>
      <c r="U519" s="238"/>
      <c r="V519" s="238"/>
    </row>
    <row r="520" spans="1:39" s="23" customFormat="1" ht="21.6" customHeight="1" x14ac:dyDescent="0.25">
      <c r="A520" s="25">
        <v>65</v>
      </c>
      <c r="B520" s="34" t="s">
        <v>1192</v>
      </c>
      <c r="C520" s="75">
        <f t="shared" ref="C520:C583" si="97">D520+K520+L520+M520+N520+O520+P520+Q520+R520+S520+T520</f>
        <v>30593641.459999997</v>
      </c>
      <c r="D520" s="75">
        <f t="shared" ref="D520:D583" si="98">SUM(E520:I520)</f>
        <v>6660578.4000000004</v>
      </c>
      <c r="E520" s="87">
        <v>6660578.4000000004</v>
      </c>
      <c r="F520" s="87">
        <v>0</v>
      </c>
      <c r="G520" s="75">
        <v>0</v>
      </c>
      <c r="H520" s="87">
        <v>0</v>
      </c>
      <c r="I520" s="75">
        <v>0</v>
      </c>
      <c r="J520" s="152">
        <v>0</v>
      </c>
      <c r="K520" s="75">
        <v>0</v>
      </c>
      <c r="L520" s="75">
        <v>22605994.399999999</v>
      </c>
      <c r="M520" s="75">
        <v>0</v>
      </c>
      <c r="N520" s="75">
        <v>0</v>
      </c>
      <c r="O520" s="75">
        <v>0</v>
      </c>
      <c r="P520" s="87">
        <f>350382+350382</f>
        <v>700764</v>
      </c>
      <c r="Q520" s="75">
        <v>0</v>
      </c>
      <c r="R520" s="75">
        <f>483768.28+142536.38</f>
        <v>626304.66</v>
      </c>
      <c r="S520" s="75">
        <v>0</v>
      </c>
      <c r="T520" s="75">
        <v>0</v>
      </c>
      <c r="U520" s="238"/>
      <c r="V520" s="238"/>
    </row>
    <row r="521" spans="1:39" s="44" customFormat="1" ht="21.6" customHeight="1" x14ac:dyDescent="0.25">
      <c r="A521" s="25">
        <v>66</v>
      </c>
      <c r="B521" s="38" t="s">
        <v>161</v>
      </c>
      <c r="C521" s="75">
        <f t="shared" si="97"/>
        <v>43957015.009999998</v>
      </c>
      <c r="D521" s="75">
        <f t="shared" si="98"/>
        <v>0</v>
      </c>
      <c r="E521" s="87">
        <v>0</v>
      </c>
      <c r="F521" s="75">
        <v>0</v>
      </c>
      <c r="G521" s="75">
        <v>0</v>
      </c>
      <c r="H521" s="87">
        <v>0</v>
      </c>
      <c r="I521" s="75">
        <v>0</v>
      </c>
      <c r="J521" s="152">
        <v>0</v>
      </c>
      <c r="K521" s="75">
        <v>0</v>
      </c>
      <c r="L521" s="75">
        <v>0</v>
      </c>
      <c r="M521" s="75">
        <v>0</v>
      </c>
      <c r="N521" s="75">
        <v>0</v>
      </c>
      <c r="O521" s="75">
        <v>0</v>
      </c>
      <c r="P521" s="87">
        <v>0</v>
      </c>
      <c r="Q521" s="75">
        <v>0</v>
      </c>
      <c r="R521" s="75">
        <v>920971.31</v>
      </c>
      <c r="S521" s="87">
        <v>43036043.699999996</v>
      </c>
      <c r="T521" s="75">
        <v>0</v>
      </c>
      <c r="U521" s="239"/>
      <c r="V521" s="239"/>
    </row>
    <row r="522" spans="1:39" s="44" customFormat="1" ht="21.6" customHeight="1" x14ac:dyDescent="0.25">
      <c r="A522" s="25">
        <v>67</v>
      </c>
      <c r="B522" s="34" t="s">
        <v>162</v>
      </c>
      <c r="C522" s="75">
        <f t="shared" si="97"/>
        <v>5043925.03</v>
      </c>
      <c r="D522" s="75">
        <f t="shared" si="98"/>
        <v>0</v>
      </c>
      <c r="E522" s="87">
        <v>0</v>
      </c>
      <c r="F522" s="75">
        <v>0</v>
      </c>
      <c r="G522" s="75">
        <v>0</v>
      </c>
      <c r="H522" s="87">
        <v>0</v>
      </c>
      <c r="I522" s="75">
        <v>0</v>
      </c>
      <c r="J522" s="152">
        <v>0</v>
      </c>
      <c r="K522" s="75">
        <v>0</v>
      </c>
      <c r="L522" s="87">
        <v>0</v>
      </c>
      <c r="M522" s="75">
        <v>0</v>
      </c>
      <c r="N522" s="87">
        <v>4940382.21</v>
      </c>
      <c r="O522" s="75">
        <v>0</v>
      </c>
      <c r="P522" s="87">
        <v>0</v>
      </c>
      <c r="Q522" s="75">
        <v>0</v>
      </c>
      <c r="R522" s="75">
        <v>103542.82</v>
      </c>
      <c r="S522" s="75">
        <v>0</v>
      </c>
      <c r="T522" s="75">
        <v>0</v>
      </c>
      <c r="U522" s="239"/>
      <c r="V522" s="239"/>
      <c r="W522" s="186"/>
    </row>
    <row r="523" spans="1:39" s="186" customFormat="1" ht="22.5" customHeight="1" x14ac:dyDescent="0.25">
      <c r="A523" s="25">
        <v>68</v>
      </c>
      <c r="B523" s="38" t="s">
        <v>165</v>
      </c>
      <c r="C523" s="75">
        <f t="shared" si="97"/>
        <v>7419736.3299999991</v>
      </c>
      <c r="D523" s="75">
        <f t="shared" si="98"/>
        <v>0</v>
      </c>
      <c r="E523" s="87">
        <v>0</v>
      </c>
      <c r="F523" s="87">
        <v>0</v>
      </c>
      <c r="G523" s="87">
        <v>0</v>
      </c>
      <c r="H523" s="87">
        <v>0</v>
      </c>
      <c r="I523" s="75">
        <v>0</v>
      </c>
      <c r="J523" s="152">
        <v>0</v>
      </c>
      <c r="K523" s="75">
        <v>0</v>
      </c>
      <c r="L523" s="75">
        <v>0</v>
      </c>
      <c r="M523" s="75">
        <v>0</v>
      </c>
      <c r="N523" s="87">
        <v>7257943.0199999996</v>
      </c>
      <c r="O523" s="75">
        <v>0</v>
      </c>
      <c r="P523" s="87">
        <v>0</v>
      </c>
      <c r="Q523" s="75">
        <v>0</v>
      </c>
      <c r="R523" s="75">
        <v>161793.31</v>
      </c>
      <c r="S523" s="75">
        <v>0</v>
      </c>
      <c r="T523" s="75">
        <v>0</v>
      </c>
      <c r="U523" s="238"/>
      <c r="V523" s="238"/>
    </row>
    <row r="524" spans="1:39" s="186" customFormat="1" ht="22.5" customHeight="1" x14ac:dyDescent="0.25">
      <c r="A524" s="25">
        <v>69</v>
      </c>
      <c r="B524" s="38" t="s">
        <v>166</v>
      </c>
      <c r="C524" s="75">
        <f t="shared" si="97"/>
        <v>8345095.3099999996</v>
      </c>
      <c r="D524" s="75">
        <f t="shared" si="98"/>
        <v>0</v>
      </c>
      <c r="E524" s="87">
        <v>0</v>
      </c>
      <c r="F524" s="75">
        <v>0</v>
      </c>
      <c r="G524" s="87">
        <v>0</v>
      </c>
      <c r="H524" s="87">
        <v>0</v>
      </c>
      <c r="I524" s="87">
        <v>0</v>
      </c>
      <c r="J524" s="152">
        <v>0</v>
      </c>
      <c r="K524" s="75">
        <v>0</v>
      </c>
      <c r="L524" s="87">
        <v>0</v>
      </c>
      <c r="M524" s="75">
        <v>0</v>
      </c>
      <c r="N524" s="75">
        <v>8183302</v>
      </c>
      <c r="O524" s="75">
        <v>0</v>
      </c>
      <c r="P524" s="87">
        <v>0</v>
      </c>
      <c r="Q524" s="75">
        <v>0</v>
      </c>
      <c r="R524" s="75">
        <v>161793.31</v>
      </c>
      <c r="S524" s="75">
        <v>0</v>
      </c>
      <c r="T524" s="75">
        <v>0</v>
      </c>
      <c r="U524" s="238"/>
      <c r="V524" s="238"/>
    </row>
    <row r="525" spans="1:39" s="186" customFormat="1" ht="22.5" customHeight="1" x14ac:dyDescent="0.25">
      <c r="A525" s="25">
        <v>70</v>
      </c>
      <c r="B525" s="34" t="s">
        <v>1193</v>
      </c>
      <c r="C525" s="75">
        <f t="shared" si="97"/>
        <v>7304910.2400000002</v>
      </c>
      <c r="D525" s="75">
        <f t="shared" si="98"/>
        <v>6808819.5</v>
      </c>
      <c r="E525" s="87">
        <v>6808819.5</v>
      </c>
      <c r="F525" s="87">
        <v>0</v>
      </c>
      <c r="G525" s="87">
        <v>0</v>
      </c>
      <c r="H525" s="87">
        <v>0</v>
      </c>
      <c r="I525" s="75">
        <v>0</v>
      </c>
      <c r="J525" s="152">
        <v>0</v>
      </c>
      <c r="K525" s="75">
        <v>0</v>
      </c>
      <c r="L525" s="87">
        <v>0</v>
      </c>
      <c r="M525" s="75">
        <v>0</v>
      </c>
      <c r="N525" s="87">
        <v>0</v>
      </c>
      <c r="O525" s="75">
        <v>0</v>
      </c>
      <c r="P525" s="87">
        <v>350382</v>
      </c>
      <c r="Q525" s="75">
        <v>0</v>
      </c>
      <c r="R525" s="75">
        <v>145708.74</v>
      </c>
      <c r="S525" s="75">
        <v>0</v>
      </c>
      <c r="T525" s="75">
        <v>0</v>
      </c>
      <c r="U525" s="239"/>
      <c r="V525" s="239"/>
      <c r="W525" s="40"/>
      <c r="X525" s="40"/>
      <c r="Y525" s="40"/>
      <c r="Z525" s="40"/>
      <c r="AA525" s="40"/>
      <c r="AB525" s="40"/>
      <c r="AC525" s="40"/>
      <c r="AD525" s="40"/>
      <c r="AE525" s="40"/>
      <c r="AF525" s="40"/>
      <c r="AG525" s="40"/>
      <c r="AH525" s="40"/>
      <c r="AI525" s="40"/>
      <c r="AJ525" s="40"/>
      <c r="AK525" s="40"/>
      <c r="AL525" s="40"/>
      <c r="AM525" s="40"/>
    </row>
    <row r="526" spans="1:39" s="186" customFormat="1" ht="22.5" customHeight="1" x14ac:dyDescent="0.25">
      <c r="A526" s="25">
        <v>71</v>
      </c>
      <c r="B526" s="34" t="s">
        <v>1194</v>
      </c>
      <c r="C526" s="75">
        <f t="shared" si="97"/>
        <v>36232469.32</v>
      </c>
      <c r="D526" s="75">
        <f t="shared" si="98"/>
        <v>0</v>
      </c>
      <c r="E526" s="87">
        <v>0</v>
      </c>
      <c r="F526" s="87">
        <v>0</v>
      </c>
      <c r="G526" s="87">
        <v>0</v>
      </c>
      <c r="H526" s="87">
        <v>0</v>
      </c>
      <c r="I526" s="75">
        <v>0</v>
      </c>
      <c r="J526" s="152">
        <v>0</v>
      </c>
      <c r="K526" s="75">
        <v>0</v>
      </c>
      <c r="L526" s="87">
        <v>34787258</v>
      </c>
      <c r="M526" s="75">
        <v>0</v>
      </c>
      <c r="N526" s="87">
        <v>0</v>
      </c>
      <c r="O526" s="75">
        <v>0</v>
      </c>
      <c r="P526" s="87">
        <f>350382+350382</f>
        <v>700764</v>
      </c>
      <c r="Q526" s="75">
        <v>0</v>
      </c>
      <c r="R526" s="75">
        <v>744447.32</v>
      </c>
      <c r="S526" s="75">
        <v>0</v>
      </c>
      <c r="T526" s="75">
        <v>0</v>
      </c>
      <c r="U526" s="239"/>
      <c r="V526" s="239"/>
      <c r="W526" s="40"/>
      <c r="X526" s="40"/>
      <c r="Y526" s="40"/>
      <c r="Z526" s="40"/>
      <c r="AA526" s="40"/>
      <c r="AB526" s="40"/>
      <c r="AC526" s="40"/>
      <c r="AD526" s="40"/>
      <c r="AE526" s="40"/>
      <c r="AF526" s="40"/>
      <c r="AG526" s="40"/>
      <c r="AH526" s="40"/>
      <c r="AI526" s="40"/>
      <c r="AJ526" s="40"/>
      <c r="AK526" s="40"/>
      <c r="AL526" s="40"/>
      <c r="AM526" s="40"/>
    </row>
    <row r="527" spans="1:39" s="186" customFormat="1" ht="22.5" customHeight="1" x14ac:dyDescent="0.25">
      <c r="A527" s="25">
        <v>72</v>
      </c>
      <c r="B527" s="34" t="s">
        <v>1195</v>
      </c>
      <c r="C527" s="75">
        <f t="shared" si="97"/>
        <v>589435</v>
      </c>
      <c r="D527" s="75">
        <f t="shared" si="98"/>
        <v>0</v>
      </c>
      <c r="E527" s="87">
        <v>0</v>
      </c>
      <c r="F527" s="87">
        <v>0</v>
      </c>
      <c r="G527" s="87">
        <v>0</v>
      </c>
      <c r="H527" s="87">
        <v>0</v>
      </c>
      <c r="I527" s="75">
        <v>0</v>
      </c>
      <c r="J527" s="152">
        <v>0</v>
      </c>
      <c r="K527" s="75">
        <v>0</v>
      </c>
      <c r="L527" s="87">
        <v>0</v>
      </c>
      <c r="M527" s="75">
        <v>0</v>
      </c>
      <c r="N527" s="87">
        <v>0</v>
      </c>
      <c r="O527" s="75">
        <v>0</v>
      </c>
      <c r="P527" s="87">
        <v>589435</v>
      </c>
      <c r="Q527" s="75">
        <v>0</v>
      </c>
      <c r="R527" s="75">
        <v>0</v>
      </c>
      <c r="S527" s="75">
        <v>0</v>
      </c>
      <c r="T527" s="75">
        <v>0</v>
      </c>
      <c r="U527" s="239"/>
      <c r="V527" s="239"/>
    </row>
    <row r="528" spans="1:39" s="186" customFormat="1" ht="22.5" customHeight="1" x14ac:dyDescent="0.25">
      <c r="A528" s="25">
        <v>73</v>
      </c>
      <c r="B528" s="34" t="s">
        <v>1196</v>
      </c>
      <c r="C528" s="75">
        <f t="shared" si="97"/>
        <v>700764</v>
      </c>
      <c r="D528" s="75">
        <f t="shared" si="98"/>
        <v>0</v>
      </c>
      <c r="E528" s="87">
        <v>0</v>
      </c>
      <c r="F528" s="87">
        <v>0</v>
      </c>
      <c r="G528" s="87">
        <v>0</v>
      </c>
      <c r="H528" s="87">
        <v>0</v>
      </c>
      <c r="I528" s="75">
        <v>0</v>
      </c>
      <c r="J528" s="152">
        <v>0</v>
      </c>
      <c r="K528" s="75">
        <v>0</v>
      </c>
      <c r="L528" s="87">
        <v>0</v>
      </c>
      <c r="M528" s="75">
        <v>0</v>
      </c>
      <c r="N528" s="87">
        <v>0</v>
      </c>
      <c r="O528" s="75">
        <v>0</v>
      </c>
      <c r="P528" s="87">
        <f>350382+350382</f>
        <v>700764</v>
      </c>
      <c r="Q528" s="75">
        <v>0</v>
      </c>
      <c r="R528" s="75">
        <v>0</v>
      </c>
      <c r="S528" s="75">
        <v>0</v>
      </c>
      <c r="T528" s="75">
        <v>0</v>
      </c>
      <c r="U528" s="239"/>
      <c r="V528" s="239"/>
      <c r="W528" s="40"/>
      <c r="X528" s="40"/>
      <c r="Y528" s="40"/>
      <c r="Z528" s="40"/>
      <c r="AA528" s="40"/>
      <c r="AB528" s="40"/>
      <c r="AC528" s="40"/>
      <c r="AD528" s="40"/>
      <c r="AE528" s="40"/>
      <c r="AF528" s="40"/>
      <c r="AG528" s="40"/>
      <c r="AH528" s="40"/>
      <c r="AI528" s="40"/>
      <c r="AJ528" s="40"/>
      <c r="AK528" s="40"/>
      <c r="AL528" s="40"/>
      <c r="AM528" s="40"/>
    </row>
    <row r="529" spans="1:39" s="186" customFormat="1" ht="22.5" customHeight="1" x14ac:dyDescent="0.25">
      <c r="A529" s="25">
        <v>74</v>
      </c>
      <c r="B529" s="34" t="s">
        <v>1197</v>
      </c>
      <c r="C529" s="75">
        <f t="shared" si="97"/>
        <v>38153419.770000003</v>
      </c>
      <c r="D529" s="75">
        <f t="shared" si="98"/>
        <v>0</v>
      </c>
      <c r="E529" s="87">
        <v>0</v>
      </c>
      <c r="F529" s="87">
        <v>0</v>
      </c>
      <c r="G529" s="87">
        <v>0</v>
      </c>
      <c r="H529" s="87">
        <v>0</v>
      </c>
      <c r="I529" s="75">
        <v>0</v>
      </c>
      <c r="J529" s="152">
        <v>0</v>
      </c>
      <c r="K529" s="75">
        <v>0</v>
      </c>
      <c r="L529" s="87">
        <v>36199872.5</v>
      </c>
      <c r="M529" s="75">
        <v>0</v>
      </c>
      <c r="N529" s="87">
        <v>0</v>
      </c>
      <c r="O529" s="75">
        <v>0</v>
      </c>
      <c r="P529" s="87">
        <f>589435+589435</f>
        <v>1178870</v>
      </c>
      <c r="Q529" s="75">
        <v>0</v>
      </c>
      <c r="R529" s="75">
        <v>774677.27</v>
      </c>
      <c r="S529" s="75">
        <v>0</v>
      </c>
      <c r="T529" s="75">
        <v>0</v>
      </c>
      <c r="U529" s="239"/>
      <c r="V529" s="239"/>
      <c r="W529" s="40"/>
      <c r="X529" s="40"/>
      <c r="Y529" s="40"/>
      <c r="Z529" s="40"/>
      <c r="AA529" s="40"/>
      <c r="AB529" s="40"/>
      <c r="AC529" s="40"/>
      <c r="AD529" s="40"/>
      <c r="AE529" s="40"/>
      <c r="AF529" s="40"/>
      <c r="AG529" s="40"/>
      <c r="AH529" s="40"/>
      <c r="AI529" s="40"/>
      <c r="AJ529" s="40"/>
      <c r="AK529" s="40"/>
      <c r="AL529" s="40"/>
      <c r="AM529" s="40"/>
    </row>
    <row r="530" spans="1:39" s="186" customFormat="1" ht="22.5" customHeight="1" x14ac:dyDescent="0.25">
      <c r="A530" s="25">
        <v>75</v>
      </c>
      <c r="B530" s="34" t="s">
        <v>174</v>
      </c>
      <c r="C530" s="75">
        <f t="shared" si="97"/>
        <v>9170347.7799999993</v>
      </c>
      <c r="D530" s="75">
        <f t="shared" si="98"/>
        <v>8978214</v>
      </c>
      <c r="E530" s="87">
        <v>0</v>
      </c>
      <c r="F530" s="87">
        <v>6322876</v>
      </c>
      <c r="G530" s="87">
        <v>2655338</v>
      </c>
      <c r="H530" s="87">
        <v>0</v>
      </c>
      <c r="I530" s="87">
        <v>0</v>
      </c>
      <c r="J530" s="152">
        <v>0</v>
      </c>
      <c r="K530" s="75">
        <v>0</v>
      </c>
      <c r="L530" s="75">
        <v>0</v>
      </c>
      <c r="M530" s="75">
        <v>0</v>
      </c>
      <c r="N530" s="75">
        <v>0</v>
      </c>
      <c r="O530" s="75">
        <v>0</v>
      </c>
      <c r="P530" s="87">
        <v>0</v>
      </c>
      <c r="Q530" s="75">
        <v>0</v>
      </c>
      <c r="R530" s="75">
        <f>56824.23+135309.55</f>
        <v>192133.78</v>
      </c>
      <c r="S530" s="75">
        <v>0</v>
      </c>
      <c r="T530" s="75">
        <v>0</v>
      </c>
      <c r="U530" s="238"/>
      <c r="V530" s="238"/>
      <c r="W530" s="40"/>
      <c r="X530" s="40"/>
      <c r="Y530" s="40"/>
      <c r="Z530" s="40"/>
      <c r="AA530" s="40"/>
      <c r="AB530" s="40"/>
      <c r="AC530" s="40"/>
      <c r="AD530" s="40"/>
      <c r="AE530" s="40"/>
      <c r="AF530" s="40"/>
      <c r="AG530" s="40"/>
      <c r="AH530" s="40"/>
      <c r="AI530" s="40"/>
      <c r="AJ530" s="40"/>
      <c r="AK530" s="40"/>
      <c r="AL530" s="40"/>
      <c r="AM530" s="40"/>
    </row>
    <row r="531" spans="1:39" s="44" customFormat="1" ht="23.45" customHeight="1" x14ac:dyDescent="0.25">
      <c r="A531" s="25">
        <v>76</v>
      </c>
      <c r="B531" s="34" t="s">
        <v>177</v>
      </c>
      <c r="C531" s="75">
        <f t="shared" si="97"/>
        <v>12860270.300000001</v>
      </c>
      <c r="D531" s="75">
        <f t="shared" si="98"/>
        <v>0</v>
      </c>
      <c r="E531" s="87">
        <v>0</v>
      </c>
      <c r="F531" s="75">
        <v>0</v>
      </c>
      <c r="G531" s="87">
        <v>0</v>
      </c>
      <c r="H531" s="87">
        <v>0</v>
      </c>
      <c r="I531" s="87">
        <v>0</v>
      </c>
      <c r="J531" s="152">
        <v>0</v>
      </c>
      <c r="K531" s="75">
        <v>0</v>
      </c>
      <c r="L531" s="75">
        <v>12860270.300000001</v>
      </c>
      <c r="M531" s="87">
        <v>0</v>
      </c>
      <c r="N531" s="87">
        <v>0</v>
      </c>
      <c r="O531" s="75">
        <v>0</v>
      </c>
      <c r="P531" s="87">
        <v>0</v>
      </c>
      <c r="Q531" s="75">
        <v>0</v>
      </c>
      <c r="R531" s="75">
        <v>0</v>
      </c>
      <c r="S531" s="75">
        <v>0</v>
      </c>
      <c r="T531" s="75">
        <v>0</v>
      </c>
      <c r="U531" s="239"/>
      <c r="V531" s="239"/>
    </row>
    <row r="532" spans="1:39" s="44" customFormat="1" ht="23.45" customHeight="1" x14ac:dyDescent="0.25">
      <c r="A532" s="25">
        <v>77</v>
      </c>
      <c r="B532" s="34" t="s">
        <v>178</v>
      </c>
      <c r="C532" s="75">
        <f t="shared" si="97"/>
        <v>5508763.9299999997</v>
      </c>
      <c r="D532" s="75">
        <f t="shared" si="98"/>
        <v>5508763.9299999997</v>
      </c>
      <c r="E532" s="87">
        <v>0</v>
      </c>
      <c r="F532" s="87">
        <v>5508763.9299999997</v>
      </c>
      <c r="G532" s="87">
        <v>0</v>
      </c>
      <c r="H532" s="87">
        <v>0</v>
      </c>
      <c r="I532" s="87">
        <v>0</v>
      </c>
      <c r="J532" s="152">
        <v>0</v>
      </c>
      <c r="K532" s="75">
        <v>0</v>
      </c>
      <c r="L532" s="75">
        <v>0</v>
      </c>
      <c r="M532" s="75">
        <v>0</v>
      </c>
      <c r="N532" s="75">
        <v>0</v>
      </c>
      <c r="O532" s="75">
        <v>0</v>
      </c>
      <c r="P532" s="87">
        <v>0</v>
      </c>
      <c r="Q532" s="75">
        <v>0</v>
      </c>
      <c r="R532" s="75">
        <v>0</v>
      </c>
      <c r="S532" s="75">
        <v>0</v>
      </c>
      <c r="T532" s="75">
        <v>0</v>
      </c>
      <c r="U532" s="238"/>
      <c r="V532" s="238"/>
    </row>
    <row r="533" spans="1:39" s="44" customFormat="1" ht="23.45" customHeight="1" x14ac:dyDescent="0.25">
      <c r="A533" s="25">
        <v>78</v>
      </c>
      <c r="B533" s="34" t="s">
        <v>179</v>
      </c>
      <c r="C533" s="75">
        <f t="shared" si="97"/>
        <v>17812087.460000001</v>
      </c>
      <c r="D533" s="75">
        <f t="shared" si="98"/>
        <v>0</v>
      </c>
      <c r="E533" s="87">
        <v>0</v>
      </c>
      <c r="F533" s="75">
        <v>0</v>
      </c>
      <c r="G533" s="87">
        <v>0</v>
      </c>
      <c r="H533" s="87">
        <v>0</v>
      </c>
      <c r="I533" s="87">
        <v>0</v>
      </c>
      <c r="J533" s="152">
        <v>0</v>
      </c>
      <c r="K533" s="75">
        <v>0</v>
      </c>
      <c r="L533" s="75">
        <v>17438895.100000001</v>
      </c>
      <c r="M533" s="75">
        <v>0</v>
      </c>
      <c r="N533" s="75">
        <v>0</v>
      </c>
      <c r="O533" s="75">
        <v>0</v>
      </c>
      <c r="P533" s="75">
        <v>0</v>
      </c>
      <c r="Q533" s="75">
        <v>0</v>
      </c>
      <c r="R533" s="75">
        <v>373192.36</v>
      </c>
      <c r="S533" s="75">
        <v>0</v>
      </c>
      <c r="T533" s="75">
        <v>0</v>
      </c>
      <c r="U533" s="238"/>
      <c r="V533" s="238"/>
      <c r="W533" s="40"/>
      <c r="X533" s="40"/>
      <c r="Y533" s="40"/>
      <c r="Z533" s="40"/>
      <c r="AA533" s="40"/>
      <c r="AB533" s="40"/>
      <c r="AC533" s="40"/>
      <c r="AD533" s="40"/>
      <c r="AE533" s="40"/>
      <c r="AF533" s="40"/>
      <c r="AG533" s="40"/>
      <c r="AH533" s="40"/>
      <c r="AI533" s="40"/>
      <c r="AJ533" s="40"/>
      <c r="AK533" s="40"/>
      <c r="AL533" s="40"/>
      <c r="AM533" s="40"/>
    </row>
    <row r="534" spans="1:39" s="44" customFormat="1" ht="23.45" customHeight="1" x14ac:dyDescent="0.25">
      <c r="A534" s="25">
        <v>79</v>
      </c>
      <c r="B534" s="34" t="s">
        <v>1198</v>
      </c>
      <c r="C534" s="75">
        <f t="shared" si="97"/>
        <v>4802183.95</v>
      </c>
      <c r="D534" s="75">
        <f t="shared" si="98"/>
        <v>4802183.95</v>
      </c>
      <c r="E534" s="87">
        <v>0</v>
      </c>
      <c r="F534" s="87">
        <v>4802183.95</v>
      </c>
      <c r="G534" s="87">
        <v>0</v>
      </c>
      <c r="H534" s="87">
        <v>0</v>
      </c>
      <c r="I534" s="87">
        <v>0</v>
      </c>
      <c r="J534" s="152">
        <v>0</v>
      </c>
      <c r="K534" s="75">
        <v>0</v>
      </c>
      <c r="L534" s="75">
        <v>0</v>
      </c>
      <c r="M534" s="75">
        <v>0</v>
      </c>
      <c r="N534" s="75">
        <v>0</v>
      </c>
      <c r="O534" s="75">
        <v>0</v>
      </c>
      <c r="P534" s="87">
        <v>0</v>
      </c>
      <c r="Q534" s="75">
        <v>0</v>
      </c>
      <c r="R534" s="75">
        <v>0</v>
      </c>
      <c r="S534" s="75">
        <v>0</v>
      </c>
      <c r="T534" s="75">
        <v>0</v>
      </c>
      <c r="U534" s="238"/>
      <c r="V534" s="238"/>
    </row>
    <row r="535" spans="1:39" s="44" customFormat="1" ht="23.45" customHeight="1" x14ac:dyDescent="0.25">
      <c r="A535" s="25">
        <v>80</v>
      </c>
      <c r="B535" s="34" t="s">
        <v>603</v>
      </c>
      <c r="C535" s="75">
        <f t="shared" si="97"/>
        <v>8655050.9400000013</v>
      </c>
      <c r="D535" s="75">
        <f t="shared" si="98"/>
        <v>0</v>
      </c>
      <c r="E535" s="87">
        <v>0</v>
      </c>
      <c r="F535" s="87">
        <v>0</v>
      </c>
      <c r="G535" s="87">
        <v>0</v>
      </c>
      <c r="H535" s="87">
        <v>0</v>
      </c>
      <c r="I535" s="87">
        <v>0</v>
      </c>
      <c r="J535" s="152">
        <v>0</v>
      </c>
      <c r="K535" s="75">
        <v>0</v>
      </c>
      <c r="L535" s="75">
        <v>0</v>
      </c>
      <c r="M535" s="75">
        <v>0</v>
      </c>
      <c r="N535" s="87">
        <v>8448663.7100000009</v>
      </c>
      <c r="O535" s="75">
        <v>0</v>
      </c>
      <c r="P535" s="87">
        <v>0</v>
      </c>
      <c r="Q535" s="75">
        <v>0</v>
      </c>
      <c r="R535" s="75">
        <v>206387.23</v>
      </c>
      <c r="S535" s="75">
        <v>0</v>
      </c>
      <c r="T535" s="75">
        <v>0</v>
      </c>
      <c r="U535" s="239"/>
      <c r="V535" s="239"/>
      <c r="W535" s="186"/>
      <c r="X535" s="186"/>
      <c r="Y535" s="186"/>
      <c r="Z535" s="186"/>
      <c r="AA535" s="186"/>
      <c r="AB535" s="186"/>
      <c r="AC535" s="186"/>
      <c r="AD535" s="186"/>
      <c r="AE535" s="186"/>
      <c r="AF535" s="186"/>
      <c r="AG535" s="186"/>
      <c r="AH535" s="186"/>
      <c r="AI535" s="186"/>
    </row>
    <row r="536" spans="1:39" s="44" customFormat="1" ht="23.45" customHeight="1" x14ac:dyDescent="0.25">
      <c r="A536" s="25">
        <v>81</v>
      </c>
      <c r="B536" s="34" t="s">
        <v>1199</v>
      </c>
      <c r="C536" s="75">
        <f t="shared" si="97"/>
        <v>11340297.140000001</v>
      </c>
      <c r="D536" s="75">
        <f t="shared" si="98"/>
        <v>0</v>
      </c>
      <c r="E536" s="87">
        <v>0</v>
      </c>
      <c r="F536" s="87">
        <v>0</v>
      </c>
      <c r="G536" s="87">
        <v>0</v>
      </c>
      <c r="H536" s="87">
        <v>0</v>
      </c>
      <c r="I536" s="87">
        <v>0</v>
      </c>
      <c r="J536" s="152">
        <v>2</v>
      </c>
      <c r="K536" s="75">
        <f>5262807+5262807</f>
        <v>10525614</v>
      </c>
      <c r="L536" s="75">
        <v>0</v>
      </c>
      <c r="M536" s="75">
        <v>0</v>
      </c>
      <c r="N536" s="87">
        <v>0</v>
      </c>
      <c r="O536" s="75">
        <v>0</v>
      </c>
      <c r="P536" s="87">
        <v>589435</v>
      </c>
      <c r="Q536" s="75">
        <v>0</v>
      </c>
      <c r="R536" s="75">
        <f>112624.07+112624.07</f>
        <v>225248.14</v>
      </c>
      <c r="S536" s="75">
        <v>0</v>
      </c>
      <c r="T536" s="75">
        <v>0</v>
      </c>
      <c r="U536" s="239"/>
      <c r="V536" s="239"/>
      <c r="W536" s="186"/>
      <c r="X536" s="186"/>
      <c r="Y536" s="186"/>
      <c r="Z536" s="186"/>
      <c r="AA536" s="186"/>
      <c r="AB536" s="186"/>
      <c r="AC536" s="186"/>
      <c r="AD536" s="186"/>
      <c r="AE536" s="186"/>
      <c r="AF536" s="186"/>
      <c r="AG536" s="186"/>
      <c r="AH536" s="186"/>
      <c r="AI536" s="186"/>
    </row>
    <row r="537" spans="1:39" s="186" customFormat="1" ht="22.5" customHeight="1" x14ac:dyDescent="0.25">
      <c r="A537" s="25">
        <v>82</v>
      </c>
      <c r="B537" s="34" t="s">
        <v>184</v>
      </c>
      <c r="C537" s="75">
        <f t="shared" si="97"/>
        <v>2738444.9</v>
      </c>
      <c r="D537" s="75">
        <f t="shared" si="98"/>
        <v>0</v>
      </c>
      <c r="E537" s="87">
        <v>0</v>
      </c>
      <c r="F537" s="75">
        <v>0</v>
      </c>
      <c r="G537" s="75">
        <v>0</v>
      </c>
      <c r="H537" s="87">
        <v>0</v>
      </c>
      <c r="I537" s="75">
        <v>0</v>
      </c>
      <c r="J537" s="152">
        <v>0</v>
      </c>
      <c r="K537" s="75">
        <v>0</v>
      </c>
      <c r="L537" s="87">
        <v>2681070</v>
      </c>
      <c r="M537" s="75">
        <v>0</v>
      </c>
      <c r="N537" s="75">
        <v>0</v>
      </c>
      <c r="O537" s="75">
        <v>0</v>
      </c>
      <c r="P537" s="87">
        <v>0</v>
      </c>
      <c r="Q537" s="75">
        <v>0</v>
      </c>
      <c r="R537" s="75">
        <v>57374.9</v>
      </c>
      <c r="S537" s="75">
        <v>0</v>
      </c>
      <c r="T537" s="75">
        <v>0</v>
      </c>
      <c r="U537" s="238"/>
      <c r="V537" s="238"/>
    </row>
    <row r="538" spans="1:39" s="186" customFormat="1" ht="22.5" customHeight="1" x14ac:dyDescent="0.25">
      <c r="A538" s="25">
        <v>83</v>
      </c>
      <c r="B538" s="34" t="s">
        <v>185</v>
      </c>
      <c r="C538" s="75">
        <f t="shared" si="97"/>
        <v>3532455.46</v>
      </c>
      <c r="D538" s="75">
        <f t="shared" si="98"/>
        <v>2938386</v>
      </c>
      <c r="E538" s="87">
        <v>0</v>
      </c>
      <c r="F538" s="87">
        <v>1838865</v>
      </c>
      <c r="G538" s="75">
        <v>0</v>
      </c>
      <c r="H538" s="87">
        <v>370305</v>
      </c>
      <c r="I538" s="87">
        <v>729216</v>
      </c>
      <c r="J538" s="152">
        <v>0</v>
      </c>
      <c r="K538" s="75">
        <v>0</v>
      </c>
      <c r="L538" s="75">
        <v>0</v>
      </c>
      <c r="M538" s="75">
        <v>0</v>
      </c>
      <c r="N538" s="75">
        <v>0</v>
      </c>
      <c r="O538" s="75">
        <v>0</v>
      </c>
      <c r="P538" s="75">
        <f>265594+265594</f>
        <v>531188</v>
      </c>
      <c r="Q538" s="75">
        <v>0</v>
      </c>
      <c r="R538" s="75">
        <f>15605.22+7924.53+39351.71</f>
        <v>62881.46</v>
      </c>
      <c r="S538" s="75">
        <v>0</v>
      </c>
      <c r="T538" s="75">
        <v>0</v>
      </c>
      <c r="U538" s="238"/>
      <c r="V538" s="238"/>
      <c r="W538" s="40"/>
      <c r="X538" s="40"/>
      <c r="Y538" s="40"/>
      <c r="Z538" s="40"/>
      <c r="AA538" s="40"/>
      <c r="AB538" s="40"/>
      <c r="AC538" s="40"/>
      <c r="AD538" s="40"/>
      <c r="AE538" s="40"/>
      <c r="AF538" s="40"/>
      <c r="AG538" s="40"/>
      <c r="AH538" s="40"/>
      <c r="AI538" s="40"/>
      <c r="AJ538" s="40"/>
      <c r="AK538" s="40"/>
      <c r="AL538" s="40"/>
      <c r="AM538" s="40"/>
    </row>
    <row r="539" spans="1:39" s="186" customFormat="1" ht="22.5" customHeight="1" x14ac:dyDescent="0.25">
      <c r="A539" s="25">
        <v>84</v>
      </c>
      <c r="B539" s="34" t="s">
        <v>1200</v>
      </c>
      <c r="C539" s="75">
        <f t="shared" si="97"/>
        <v>21976669.539999999</v>
      </c>
      <c r="D539" s="75">
        <f t="shared" si="98"/>
        <v>20939137</v>
      </c>
      <c r="E539" s="87">
        <v>0</v>
      </c>
      <c r="F539" s="87">
        <v>13729861</v>
      </c>
      <c r="G539" s="87">
        <v>5765955.5</v>
      </c>
      <c r="H539" s="87">
        <v>1443320.5</v>
      </c>
      <c r="I539" s="75">
        <v>0</v>
      </c>
      <c r="J539" s="152">
        <v>0</v>
      </c>
      <c r="K539" s="75">
        <v>0</v>
      </c>
      <c r="L539" s="75">
        <v>0</v>
      </c>
      <c r="M539" s="75">
        <v>0</v>
      </c>
      <c r="N539" s="87">
        <v>0</v>
      </c>
      <c r="O539" s="75">
        <v>0</v>
      </c>
      <c r="P539" s="87">
        <v>589435</v>
      </c>
      <c r="Q539" s="75">
        <v>0</v>
      </c>
      <c r="R539" s="75">
        <f>123391.45+30887.06+293819.03</f>
        <v>448097.54000000004</v>
      </c>
      <c r="S539" s="75">
        <v>0</v>
      </c>
      <c r="T539" s="75">
        <v>0</v>
      </c>
      <c r="U539" s="238"/>
      <c r="V539" s="238"/>
      <c r="W539" s="40"/>
      <c r="X539" s="40"/>
      <c r="Y539" s="40"/>
      <c r="Z539" s="40"/>
      <c r="AA539" s="40"/>
      <c r="AB539" s="40"/>
      <c r="AC539" s="40"/>
      <c r="AD539" s="40"/>
      <c r="AE539" s="40"/>
      <c r="AF539" s="40"/>
      <c r="AG539" s="40"/>
      <c r="AH539" s="40"/>
      <c r="AI539" s="40"/>
      <c r="AJ539" s="40"/>
      <c r="AK539" s="40"/>
      <c r="AL539" s="40"/>
      <c r="AM539" s="40"/>
    </row>
    <row r="540" spans="1:39" s="186" customFormat="1" ht="22.5" customHeight="1" x14ac:dyDescent="0.25">
      <c r="A540" s="25">
        <v>85</v>
      </c>
      <c r="B540" s="34" t="s">
        <v>1201</v>
      </c>
      <c r="C540" s="75">
        <f t="shared" si="97"/>
        <v>28333171.490000002</v>
      </c>
      <c r="D540" s="75">
        <f t="shared" si="98"/>
        <v>0</v>
      </c>
      <c r="E540" s="87">
        <v>0</v>
      </c>
      <c r="F540" s="87">
        <v>0</v>
      </c>
      <c r="G540" s="87">
        <v>0</v>
      </c>
      <c r="H540" s="87">
        <v>0</v>
      </c>
      <c r="I540" s="75">
        <v>0</v>
      </c>
      <c r="J540" s="152">
        <v>0</v>
      </c>
      <c r="K540" s="75">
        <v>0</v>
      </c>
      <c r="L540" s="75">
        <v>27396504.300000001</v>
      </c>
      <c r="M540" s="75">
        <v>0</v>
      </c>
      <c r="N540" s="87">
        <v>0</v>
      </c>
      <c r="O540" s="75">
        <v>0</v>
      </c>
      <c r="P540" s="87">
        <v>350382</v>
      </c>
      <c r="Q540" s="75">
        <v>0</v>
      </c>
      <c r="R540" s="75">
        <v>586285.18999999994</v>
      </c>
      <c r="S540" s="75">
        <v>0</v>
      </c>
      <c r="T540" s="75">
        <v>0</v>
      </c>
      <c r="U540" s="238"/>
      <c r="V540" s="238"/>
      <c r="W540" s="40"/>
      <c r="X540" s="40"/>
      <c r="Y540" s="40"/>
      <c r="Z540" s="40"/>
      <c r="AA540" s="40"/>
      <c r="AB540" s="40"/>
      <c r="AC540" s="40"/>
      <c r="AD540" s="40"/>
      <c r="AE540" s="40"/>
      <c r="AF540" s="40"/>
      <c r="AG540" s="40"/>
      <c r="AH540" s="40"/>
      <c r="AI540" s="40"/>
      <c r="AJ540" s="40"/>
      <c r="AK540" s="40"/>
      <c r="AL540" s="40"/>
      <c r="AM540" s="40"/>
    </row>
    <row r="541" spans="1:39" s="186" customFormat="1" ht="22.5" customHeight="1" x14ac:dyDescent="0.25">
      <c r="A541" s="25">
        <v>86</v>
      </c>
      <c r="B541" s="34" t="s">
        <v>1202</v>
      </c>
      <c r="C541" s="75">
        <f t="shared" si="97"/>
        <v>712409.47</v>
      </c>
      <c r="D541" s="75">
        <f t="shared" si="98"/>
        <v>354442.4</v>
      </c>
      <c r="E541" s="87">
        <v>0</v>
      </c>
      <c r="F541" s="75">
        <v>0</v>
      </c>
      <c r="G541" s="75">
        <v>0</v>
      </c>
      <c r="H541" s="87">
        <v>354442.4</v>
      </c>
      <c r="I541" s="75">
        <v>0</v>
      </c>
      <c r="J541" s="152">
        <v>0</v>
      </c>
      <c r="K541" s="75">
        <v>0</v>
      </c>
      <c r="L541" s="75">
        <v>0</v>
      </c>
      <c r="M541" s="75">
        <v>0</v>
      </c>
      <c r="N541" s="75">
        <v>0</v>
      </c>
      <c r="O541" s="75">
        <v>0</v>
      </c>
      <c r="P541" s="75">
        <v>350382</v>
      </c>
      <c r="Q541" s="75">
        <v>0</v>
      </c>
      <c r="R541" s="75">
        <v>7585.07</v>
      </c>
      <c r="S541" s="75">
        <v>0</v>
      </c>
      <c r="T541" s="75">
        <v>0</v>
      </c>
      <c r="U541" s="238"/>
      <c r="V541" s="238"/>
      <c r="W541" s="40"/>
      <c r="X541" s="40"/>
      <c r="Y541" s="40"/>
      <c r="Z541" s="40"/>
      <c r="AA541" s="40"/>
      <c r="AB541" s="40"/>
      <c r="AC541" s="40"/>
      <c r="AD541" s="40"/>
      <c r="AE541" s="40"/>
      <c r="AF541" s="40"/>
      <c r="AG541" s="40"/>
      <c r="AH541" s="40"/>
      <c r="AI541" s="40"/>
      <c r="AJ541" s="40"/>
      <c r="AK541" s="40"/>
      <c r="AL541" s="40"/>
      <c r="AM541" s="40"/>
    </row>
    <row r="542" spans="1:39" s="186" customFormat="1" ht="22.5" customHeight="1" x14ac:dyDescent="0.25">
      <c r="A542" s="25">
        <v>87</v>
      </c>
      <c r="B542" s="34" t="s">
        <v>1203</v>
      </c>
      <c r="C542" s="75">
        <f t="shared" si="97"/>
        <v>7028444.1699999999</v>
      </c>
      <c r="D542" s="75">
        <f t="shared" si="98"/>
        <v>5852064</v>
      </c>
      <c r="E542" s="87">
        <v>0</v>
      </c>
      <c r="F542" s="75">
        <v>0</v>
      </c>
      <c r="G542" s="87">
        <v>3550944</v>
      </c>
      <c r="H542" s="87">
        <v>888864</v>
      </c>
      <c r="I542" s="87">
        <v>1412256</v>
      </c>
      <c r="J542" s="152">
        <v>0</v>
      </c>
      <c r="K542" s="75">
        <v>0</v>
      </c>
      <c r="L542" s="75">
        <v>0</v>
      </c>
      <c r="M542" s="75">
        <v>0</v>
      </c>
      <c r="N542" s="75">
        <v>0</v>
      </c>
      <c r="O542" s="75">
        <v>0</v>
      </c>
      <c r="P542" s="75">
        <f>350382+350382+350382</f>
        <v>1051146</v>
      </c>
      <c r="Q542" s="75">
        <v>0</v>
      </c>
      <c r="R542" s="75">
        <f>30222.28+75990.2+19021.69</f>
        <v>125234.17</v>
      </c>
      <c r="S542" s="75">
        <v>0</v>
      </c>
      <c r="T542" s="75">
        <v>0</v>
      </c>
      <c r="U542" s="238"/>
      <c r="V542" s="238"/>
      <c r="W542" s="40"/>
      <c r="X542" s="40"/>
      <c r="Y542" s="40"/>
      <c r="Z542" s="40"/>
      <c r="AA542" s="40"/>
      <c r="AB542" s="40"/>
      <c r="AC542" s="40"/>
      <c r="AD542" s="40"/>
      <c r="AE542" s="40"/>
      <c r="AF542" s="40"/>
      <c r="AG542" s="40"/>
      <c r="AH542" s="40"/>
      <c r="AI542" s="40"/>
      <c r="AJ542" s="40"/>
      <c r="AK542" s="40"/>
      <c r="AL542" s="40"/>
      <c r="AM542" s="40"/>
    </row>
    <row r="543" spans="1:39" s="186" customFormat="1" ht="22.5" customHeight="1" x14ac:dyDescent="0.25">
      <c r="A543" s="25">
        <v>88</v>
      </c>
      <c r="B543" s="34" t="s">
        <v>189</v>
      </c>
      <c r="C543" s="75">
        <f t="shared" si="97"/>
        <v>11551520.75</v>
      </c>
      <c r="D543" s="75">
        <f t="shared" si="98"/>
        <v>0</v>
      </c>
      <c r="E543" s="87">
        <v>0</v>
      </c>
      <c r="F543" s="75">
        <v>0</v>
      </c>
      <c r="G543" s="75">
        <v>0</v>
      </c>
      <c r="H543" s="87">
        <v>0</v>
      </c>
      <c r="I543" s="75">
        <v>0</v>
      </c>
      <c r="J543" s="152">
        <v>0</v>
      </c>
      <c r="K543" s="75">
        <v>0</v>
      </c>
      <c r="L543" s="75">
        <v>0</v>
      </c>
      <c r="M543" s="75">
        <v>0</v>
      </c>
      <c r="N543" s="87">
        <v>11309497.5</v>
      </c>
      <c r="O543" s="75">
        <v>0</v>
      </c>
      <c r="P543" s="87">
        <v>0</v>
      </c>
      <c r="Q543" s="75">
        <v>0</v>
      </c>
      <c r="R543" s="75">
        <v>242023.25</v>
      </c>
      <c r="S543" s="75">
        <v>0</v>
      </c>
      <c r="T543" s="75">
        <v>0</v>
      </c>
      <c r="U543" s="239"/>
      <c r="V543" s="239"/>
    </row>
    <row r="544" spans="1:39" s="186" customFormat="1" ht="22.5" customHeight="1" x14ac:dyDescent="0.25">
      <c r="A544" s="25">
        <v>89</v>
      </c>
      <c r="B544" s="34" t="s">
        <v>190</v>
      </c>
      <c r="C544" s="75">
        <f t="shared" si="97"/>
        <v>15511042.599999998</v>
      </c>
      <c r="D544" s="75">
        <f t="shared" si="98"/>
        <v>15186060.899999999</v>
      </c>
      <c r="E544" s="87">
        <v>0</v>
      </c>
      <c r="F544" s="87">
        <v>10694730.6</v>
      </c>
      <c r="G544" s="87">
        <v>4491330.3</v>
      </c>
      <c r="H544" s="87">
        <v>0</v>
      </c>
      <c r="I544" s="87">
        <v>0</v>
      </c>
      <c r="J544" s="152">
        <v>0</v>
      </c>
      <c r="K544" s="75">
        <v>0</v>
      </c>
      <c r="L544" s="87">
        <v>0</v>
      </c>
      <c r="M544" s="75">
        <v>0</v>
      </c>
      <c r="N544" s="75">
        <v>0</v>
      </c>
      <c r="O544" s="75">
        <v>0</v>
      </c>
      <c r="P544" s="87">
        <v>0</v>
      </c>
      <c r="Q544" s="75">
        <v>0</v>
      </c>
      <c r="R544" s="75">
        <f>96114.47+228867.23</f>
        <v>324981.7</v>
      </c>
      <c r="S544" s="75">
        <v>0</v>
      </c>
      <c r="T544" s="75">
        <v>0</v>
      </c>
      <c r="U544" s="238"/>
      <c r="V544" s="238"/>
    </row>
    <row r="545" spans="1:39" s="186" customFormat="1" ht="22.5" customHeight="1" x14ac:dyDescent="0.25">
      <c r="A545" s="25">
        <v>90</v>
      </c>
      <c r="B545" s="34" t="s">
        <v>1204</v>
      </c>
      <c r="C545" s="75">
        <f t="shared" si="97"/>
        <v>1840878.15</v>
      </c>
      <c r="D545" s="75">
        <f t="shared" si="98"/>
        <v>1282250</v>
      </c>
      <c r="E545" s="87">
        <v>0</v>
      </c>
      <c r="F545" s="87">
        <v>668150</v>
      </c>
      <c r="G545" s="87">
        <v>214590</v>
      </c>
      <c r="H545" s="87">
        <v>134550</v>
      </c>
      <c r="I545" s="87">
        <v>264960</v>
      </c>
      <c r="J545" s="152">
        <v>0</v>
      </c>
      <c r="K545" s="75">
        <v>0</v>
      </c>
      <c r="L545" s="75">
        <v>0</v>
      </c>
      <c r="M545" s="75">
        <v>0</v>
      </c>
      <c r="N545" s="75">
        <v>0</v>
      </c>
      <c r="O545" s="75">
        <v>0</v>
      </c>
      <c r="P545" s="87">
        <f>265594+265594</f>
        <v>531188</v>
      </c>
      <c r="Q545" s="75">
        <v>0</v>
      </c>
      <c r="R545" s="75">
        <f>5670.14+4592.23+2879.37+14298.41</f>
        <v>27440.149999999998</v>
      </c>
      <c r="S545" s="75">
        <v>0</v>
      </c>
      <c r="T545" s="75">
        <v>0</v>
      </c>
      <c r="U545" s="238"/>
      <c r="V545" s="238"/>
    </row>
    <row r="546" spans="1:39" s="186" customFormat="1" ht="22.5" customHeight="1" x14ac:dyDescent="0.25">
      <c r="A546" s="25">
        <v>91</v>
      </c>
      <c r="B546" s="34" t="s">
        <v>1205</v>
      </c>
      <c r="C546" s="75">
        <f t="shared" si="97"/>
        <v>6938613.0599999996</v>
      </c>
      <c r="D546" s="75">
        <f t="shared" si="98"/>
        <v>0</v>
      </c>
      <c r="E546" s="87">
        <v>0</v>
      </c>
      <c r="F546" s="75">
        <v>0</v>
      </c>
      <c r="G546" s="75">
        <v>0</v>
      </c>
      <c r="H546" s="87">
        <v>0</v>
      </c>
      <c r="I546" s="75">
        <v>0</v>
      </c>
      <c r="J546" s="152">
        <v>0</v>
      </c>
      <c r="K546" s="75">
        <v>0</v>
      </c>
      <c r="L546" s="75">
        <v>0</v>
      </c>
      <c r="M546" s="75">
        <v>0</v>
      </c>
      <c r="N546" s="87">
        <v>6533208.3999999994</v>
      </c>
      <c r="O546" s="75">
        <v>0</v>
      </c>
      <c r="P546" s="87">
        <v>265594</v>
      </c>
      <c r="Q546" s="75">
        <v>0</v>
      </c>
      <c r="R546" s="75">
        <v>139810.66</v>
      </c>
      <c r="S546" s="75">
        <v>0</v>
      </c>
      <c r="T546" s="75">
        <v>0</v>
      </c>
      <c r="U546" s="238"/>
      <c r="V546" s="238"/>
    </row>
    <row r="547" spans="1:39" s="186" customFormat="1" ht="22.5" customHeight="1" x14ac:dyDescent="0.25">
      <c r="A547" s="25">
        <v>92</v>
      </c>
      <c r="B547" s="34" t="s">
        <v>1206</v>
      </c>
      <c r="C547" s="75">
        <f t="shared" si="97"/>
        <v>2158813.21</v>
      </c>
      <c r="D547" s="75">
        <f t="shared" si="98"/>
        <v>1593523.8</v>
      </c>
      <c r="E547" s="87">
        <v>0</v>
      </c>
      <c r="F547" s="87">
        <v>0</v>
      </c>
      <c r="G547" s="75">
        <v>0</v>
      </c>
      <c r="H547" s="87">
        <v>536679</v>
      </c>
      <c r="I547" s="87">
        <v>1056844.8</v>
      </c>
      <c r="J547" s="152">
        <v>0</v>
      </c>
      <c r="K547" s="75">
        <v>0</v>
      </c>
      <c r="L547" s="75">
        <v>0</v>
      </c>
      <c r="M547" s="75">
        <v>0</v>
      </c>
      <c r="N547" s="75">
        <v>0</v>
      </c>
      <c r="O547" s="75">
        <v>0</v>
      </c>
      <c r="P547" s="87">
        <f>265594+265594</f>
        <v>531188</v>
      </c>
      <c r="Q547" s="75">
        <v>0</v>
      </c>
      <c r="R547" s="75">
        <f>22616.48+11484.93</f>
        <v>34101.410000000003</v>
      </c>
      <c r="S547" s="75">
        <v>0</v>
      </c>
      <c r="T547" s="75">
        <v>0</v>
      </c>
      <c r="U547" s="238"/>
      <c r="V547" s="238"/>
      <c r="W547" s="40"/>
      <c r="X547" s="40"/>
      <c r="Y547" s="40"/>
      <c r="Z547" s="40"/>
      <c r="AA547" s="40"/>
      <c r="AB547" s="40"/>
      <c r="AC547" s="40"/>
      <c r="AD547" s="40"/>
      <c r="AE547" s="40"/>
      <c r="AF547" s="40"/>
      <c r="AG547" s="40"/>
      <c r="AH547" s="40"/>
      <c r="AI547" s="40"/>
    </row>
    <row r="548" spans="1:39" s="44" customFormat="1" ht="25.15" customHeight="1" x14ac:dyDescent="0.25">
      <c r="A548" s="25">
        <v>93</v>
      </c>
      <c r="B548" s="39" t="s">
        <v>194</v>
      </c>
      <c r="C548" s="75">
        <f t="shared" si="97"/>
        <v>5241787.7300000004</v>
      </c>
      <c r="D548" s="75">
        <f t="shared" si="98"/>
        <v>0</v>
      </c>
      <c r="E548" s="87">
        <v>0</v>
      </c>
      <c r="F548" s="87">
        <v>0</v>
      </c>
      <c r="G548" s="87">
        <v>0</v>
      </c>
      <c r="H548" s="87">
        <v>0</v>
      </c>
      <c r="I548" s="87">
        <v>0</v>
      </c>
      <c r="J548" s="152">
        <v>0</v>
      </c>
      <c r="K548" s="75">
        <v>0</v>
      </c>
      <c r="L548" s="87">
        <v>5241787.7300000004</v>
      </c>
      <c r="M548" s="75">
        <v>0</v>
      </c>
      <c r="N548" s="75">
        <v>0</v>
      </c>
      <c r="O548" s="75">
        <v>0</v>
      </c>
      <c r="P548" s="75">
        <v>0</v>
      </c>
      <c r="Q548" s="75">
        <v>0</v>
      </c>
      <c r="R548" s="75">
        <v>0</v>
      </c>
      <c r="S548" s="75">
        <v>0</v>
      </c>
      <c r="T548" s="75">
        <v>0</v>
      </c>
      <c r="U548" s="238"/>
      <c r="V548" s="238"/>
    </row>
    <row r="549" spans="1:39" s="44" customFormat="1" ht="23.45" customHeight="1" x14ac:dyDescent="0.25">
      <c r="A549" s="25">
        <v>94</v>
      </c>
      <c r="B549" s="39" t="s">
        <v>1207</v>
      </c>
      <c r="C549" s="75">
        <f t="shared" si="97"/>
        <v>27866501.380000003</v>
      </c>
      <c r="D549" s="75">
        <f t="shared" si="98"/>
        <v>11974013</v>
      </c>
      <c r="E549" s="87">
        <v>0</v>
      </c>
      <c r="F549" s="87">
        <v>6486276.2999999998</v>
      </c>
      <c r="G549" s="87">
        <v>3329875.7</v>
      </c>
      <c r="H549" s="87">
        <v>833526.7</v>
      </c>
      <c r="I549" s="87">
        <v>1324334.3</v>
      </c>
      <c r="J549" s="152">
        <v>0</v>
      </c>
      <c r="K549" s="75">
        <v>0</v>
      </c>
      <c r="L549" s="75">
        <v>0</v>
      </c>
      <c r="M549" s="75">
        <v>0</v>
      </c>
      <c r="N549" s="87">
        <v>0</v>
      </c>
      <c r="O549" s="75">
        <v>0</v>
      </c>
      <c r="P549" s="87">
        <f>700764+350382+350382</f>
        <v>1401528</v>
      </c>
      <c r="Q549" s="75">
        <v>0</v>
      </c>
      <c r="R549" s="75">
        <v>256243.88</v>
      </c>
      <c r="S549" s="75">
        <v>14234716.5</v>
      </c>
      <c r="T549" s="75">
        <v>0</v>
      </c>
      <c r="U549" s="239"/>
      <c r="V549" s="239"/>
    </row>
    <row r="550" spans="1:39" s="44" customFormat="1" ht="23.45" customHeight="1" x14ac:dyDescent="0.25">
      <c r="A550" s="25">
        <v>95</v>
      </c>
      <c r="B550" s="34" t="s">
        <v>610</v>
      </c>
      <c r="C550" s="75">
        <f t="shared" si="97"/>
        <v>4844433</v>
      </c>
      <c r="D550" s="75">
        <f t="shared" si="98"/>
        <v>4844433</v>
      </c>
      <c r="E550" s="87">
        <v>4844433</v>
      </c>
      <c r="F550" s="75">
        <v>0</v>
      </c>
      <c r="G550" s="75">
        <v>0</v>
      </c>
      <c r="H550" s="87">
        <v>0</v>
      </c>
      <c r="I550" s="87">
        <v>0</v>
      </c>
      <c r="J550" s="152">
        <v>0</v>
      </c>
      <c r="K550" s="75">
        <v>0</v>
      </c>
      <c r="L550" s="87">
        <v>0</v>
      </c>
      <c r="M550" s="75">
        <v>0</v>
      </c>
      <c r="N550" s="75">
        <v>0</v>
      </c>
      <c r="O550" s="75">
        <v>0</v>
      </c>
      <c r="P550" s="87">
        <v>0</v>
      </c>
      <c r="Q550" s="75">
        <v>0</v>
      </c>
      <c r="R550" s="75">
        <v>0</v>
      </c>
      <c r="S550" s="75">
        <v>0</v>
      </c>
      <c r="T550" s="75">
        <v>0</v>
      </c>
      <c r="U550" s="239"/>
      <c r="V550" s="239"/>
      <c r="W550" s="186"/>
      <c r="X550" s="186"/>
      <c r="Y550" s="186"/>
      <c r="Z550" s="186"/>
      <c r="AA550" s="186"/>
      <c r="AB550" s="186"/>
      <c r="AC550" s="186"/>
      <c r="AD550" s="186"/>
      <c r="AE550" s="186"/>
      <c r="AF550" s="186"/>
      <c r="AG550" s="186"/>
      <c r="AH550" s="186"/>
      <c r="AI550" s="186"/>
    </row>
    <row r="551" spans="1:39" s="40" customFormat="1" ht="23.45" customHeight="1" x14ac:dyDescent="0.25">
      <c r="A551" s="25">
        <v>96</v>
      </c>
      <c r="B551" s="34" t="s">
        <v>198</v>
      </c>
      <c r="C551" s="75">
        <f t="shared" si="97"/>
        <v>10750862.140000001</v>
      </c>
      <c r="D551" s="75">
        <f t="shared" si="98"/>
        <v>0</v>
      </c>
      <c r="E551" s="87">
        <v>0</v>
      </c>
      <c r="F551" s="75">
        <v>0</v>
      </c>
      <c r="G551" s="75">
        <v>0</v>
      </c>
      <c r="H551" s="87">
        <v>0</v>
      </c>
      <c r="I551" s="87">
        <v>0</v>
      </c>
      <c r="J551" s="152">
        <v>2</v>
      </c>
      <c r="K551" s="75">
        <v>10525614</v>
      </c>
      <c r="L551" s="87">
        <v>0</v>
      </c>
      <c r="M551" s="75">
        <v>0</v>
      </c>
      <c r="N551" s="75">
        <v>0</v>
      </c>
      <c r="O551" s="75">
        <v>0</v>
      </c>
      <c r="P551" s="87">
        <v>0</v>
      </c>
      <c r="Q551" s="75">
        <v>0</v>
      </c>
      <c r="R551" s="75">
        <v>225248.14</v>
      </c>
      <c r="S551" s="75">
        <v>0</v>
      </c>
      <c r="T551" s="75">
        <v>0</v>
      </c>
      <c r="U551" s="239"/>
      <c r="V551" s="239"/>
    </row>
    <row r="552" spans="1:39" s="40" customFormat="1" ht="23.45" customHeight="1" x14ac:dyDescent="0.25">
      <c r="A552" s="25">
        <v>97</v>
      </c>
      <c r="B552" s="34" t="s">
        <v>1208</v>
      </c>
      <c r="C552" s="75">
        <f t="shared" si="97"/>
        <v>6830139.2700000005</v>
      </c>
      <c r="D552" s="75">
        <f t="shared" si="98"/>
        <v>0</v>
      </c>
      <c r="E552" s="87">
        <v>0</v>
      </c>
      <c r="F552" s="75">
        <v>0</v>
      </c>
      <c r="G552" s="75">
        <v>0</v>
      </c>
      <c r="H552" s="87">
        <v>0</v>
      </c>
      <c r="I552" s="87">
        <v>0</v>
      </c>
      <c r="J552" s="152">
        <v>0</v>
      </c>
      <c r="K552" s="75">
        <v>0</v>
      </c>
      <c r="L552" s="87">
        <v>5646919.2000000002</v>
      </c>
      <c r="M552" s="75">
        <v>0</v>
      </c>
      <c r="N552" s="75">
        <v>0</v>
      </c>
      <c r="O552" s="75">
        <v>0</v>
      </c>
      <c r="P552" s="87">
        <f>265594+265594+265594+265594</f>
        <v>1062376</v>
      </c>
      <c r="Q552" s="75">
        <v>0</v>
      </c>
      <c r="R552" s="75">
        <f>120844.07</f>
        <v>120844.07</v>
      </c>
      <c r="S552" s="75">
        <v>0</v>
      </c>
      <c r="T552" s="75">
        <v>0</v>
      </c>
      <c r="U552" s="239"/>
      <c r="V552" s="239"/>
    </row>
    <row r="553" spans="1:39" s="186" customFormat="1" ht="22.15" customHeight="1" x14ac:dyDescent="0.25">
      <c r="A553" s="25">
        <v>98</v>
      </c>
      <c r="B553" s="34" t="s">
        <v>206</v>
      </c>
      <c r="C553" s="75">
        <f t="shared" si="97"/>
        <v>3779744.5300000003</v>
      </c>
      <c r="D553" s="75">
        <f t="shared" si="98"/>
        <v>3700552.7</v>
      </c>
      <c r="E553" s="87">
        <v>0</v>
      </c>
      <c r="F553" s="75">
        <v>0</v>
      </c>
      <c r="G553" s="87">
        <v>3700552.7</v>
      </c>
      <c r="H553" s="87">
        <v>0</v>
      </c>
      <c r="I553" s="75">
        <v>0</v>
      </c>
      <c r="J553" s="152">
        <v>0</v>
      </c>
      <c r="K553" s="75">
        <v>0</v>
      </c>
      <c r="L553" s="75">
        <v>0</v>
      </c>
      <c r="M553" s="87">
        <v>0</v>
      </c>
      <c r="N553" s="87">
        <v>0</v>
      </c>
      <c r="O553" s="75">
        <v>0</v>
      </c>
      <c r="P553" s="75">
        <v>0</v>
      </c>
      <c r="Q553" s="75">
        <v>0</v>
      </c>
      <c r="R553" s="75">
        <v>79191.83</v>
      </c>
      <c r="S553" s="75">
        <v>0</v>
      </c>
      <c r="T553" s="75">
        <v>0</v>
      </c>
      <c r="U553" s="238"/>
      <c r="V553" s="238"/>
    </row>
    <row r="554" spans="1:39" s="186" customFormat="1" ht="22.15" customHeight="1" x14ac:dyDescent="0.25">
      <c r="A554" s="25">
        <v>99</v>
      </c>
      <c r="B554" s="34" t="s">
        <v>1209</v>
      </c>
      <c r="C554" s="75">
        <f t="shared" si="97"/>
        <v>589435</v>
      </c>
      <c r="D554" s="75">
        <f t="shared" si="98"/>
        <v>0</v>
      </c>
      <c r="E554" s="87">
        <v>0</v>
      </c>
      <c r="F554" s="75">
        <v>0</v>
      </c>
      <c r="G554" s="87">
        <v>0</v>
      </c>
      <c r="H554" s="87">
        <v>0</v>
      </c>
      <c r="I554" s="75">
        <v>0</v>
      </c>
      <c r="J554" s="152">
        <v>0</v>
      </c>
      <c r="K554" s="75">
        <v>0</v>
      </c>
      <c r="L554" s="75">
        <v>0</v>
      </c>
      <c r="M554" s="87">
        <v>0</v>
      </c>
      <c r="N554" s="87">
        <v>0</v>
      </c>
      <c r="O554" s="75">
        <v>0</v>
      </c>
      <c r="P554" s="75">
        <v>589435</v>
      </c>
      <c r="Q554" s="75">
        <v>0</v>
      </c>
      <c r="R554" s="75">
        <v>0</v>
      </c>
      <c r="S554" s="75">
        <v>0</v>
      </c>
      <c r="T554" s="75">
        <v>0</v>
      </c>
      <c r="U554" s="238"/>
      <c r="V554" s="238"/>
    </row>
    <row r="555" spans="1:39" s="186" customFormat="1" ht="22.15" customHeight="1" x14ac:dyDescent="0.25">
      <c r="A555" s="25">
        <v>100</v>
      </c>
      <c r="B555" s="34" t="s">
        <v>207</v>
      </c>
      <c r="C555" s="75">
        <f t="shared" si="97"/>
        <v>22717227.149999999</v>
      </c>
      <c r="D555" s="75">
        <f t="shared" si="98"/>
        <v>0</v>
      </c>
      <c r="E555" s="87">
        <v>0</v>
      </c>
      <c r="F555" s="75">
        <v>0</v>
      </c>
      <c r="G555" s="75">
        <v>0</v>
      </c>
      <c r="H555" s="87">
        <v>0</v>
      </c>
      <c r="I555" s="75">
        <v>0</v>
      </c>
      <c r="J555" s="152">
        <v>0</v>
      </c>
      <c r="K555" s="75">
        <v>0</v>
      </c>
      <c r="L555" s="87">
        <v>22241264.099999998</v>
      </c>
      <c r="M555" s="75">
        <v>0</v>
      </c>
      <c r="N555" s="75">
        <v>0</v>
      </c>
      <c r="O555" s="75">
        <v>0</v>
      </c>
      <c r="P555" s="87">
        <v>0</v>
      </c>
      <c r="Q555" s="75">
        <v>0</v>
      </c>
      <c r="R555" s="75">
        <v>475963.05</v>
      </c>
      <c r="S555" s="75">
        <v>0</v>
      </c>
      <c r="T555" s="75">
        <v>0</v>
      </c>
      <c r="U555" s="238"/>
      <c r="V555" s="238"/>
      <c r="W555" s="40"/>
      <c r="X555" s="40"/>
      <c r="Y555" s="40"/>
      <c r="Z555" s="40"/>
      <c r="AA555" s="40"/>
      <c r="AB555" s="40"/>
      <c r="AC555" s="40"/>
      <c r="AD555" s="40"/>
      <c r="AE555" s="40"/>
      <c r="AF555" s="40"/>
      <c r="AG555" s="40"/>
      <c r="AH555" s="40"/>
      <c r="AI555" s="40"/>
      <c r="AJ555" s="40"/>
      <c r="AK555" s="40"/>
      <c r="AL555" s="40"/>
      <c r="AM555" s="40"/>
    </row>
    <row r="556" spans="1:39" s="186" customFormat="1" ht="22.5" customHeight="1" x14ac:dyDescent="0.25">
      <c r="A556" s="25">
        <v>101</v>
      </c>
      <c r="B556" s="34" t="s">
        <v>209</v>
      </c>
      <c r="C556" s="75">
        <f t="shared" si="97"/>
        <v>12328646.449999999</v>
      </c>
      <c r="D556" s="75">
        <f t="shared" si="98"/>
        <v>0</v>
      </c>
      <c r="E556" s="87">
        <v>0</v>
      </c>
      <c r="F556" s="87">
        <v>0</v>
      </c>
      <c r="G556" s="87">
        <v>0</v>
      </c>
      <c r="H556" s="87">
        <v>0</v>
      </c>
      <c r="I556" s="87">
        <v>0</v>
      </c>
      <c r="J556" s="152">
        <v>0</v>
      </c>
      <c r="K556" s="75">
        <v>0</v>
      </c>
      <c r="L556" s="75">
        <v>8585797.4000000004</v>
      </c>
      <c r="M556" s="75">
        <v>0</v>
      </c>
      <c r="N556" s="87">
        <v>3742849.05</v>
      </c>
      <c r="O556" s="75">
        <v>0</v>
      </c>
      <c r="P556" s="87">
        <v>0</v>
      </c>
      <c r="Q556" s="75">
        <v>0</v>
      </c>
      <c r="R556" s="75">
        <v>0</v>
      </c>
      <c r="S556" s="75">
        <v>0</v>
      </c>
      <c r="T556" s="75">
        <v>0</v>
      </c>
      <c r="U556" s="238"/>
      <c r="V556" s="238"/>
    </row>
    <row r="557" spans="1:39" s="186" customFormat="1" ht="22.5" customHeight="1" x14ac:dyDescent="0.25">
      <c r="A557" s="25">
        <v>102</v>
      </c>
      <c r="B557" s="34" t="s">
        <v>1210</v>
      </c>
      <c r="C557" s="75">
        <f t="shared" si="97"/>
        <v>589435</v>
      </c>
      <c r="D557" s="75">
        <f t="shared" si="98"/>
        <v>0</v>
      </c>
      <c r="E557" s="87">
        <v>0</v>
      </c>
      <c r="F557" s="75">
        <v>0</v>
      </c>
      <c r="G557" s="87">
        <v>0</v>
      </c>
      <c r="H557" s="87">
        <v>0</v>
      </c>
      <c r="I557" s="75">
        <v>0</v>
      </c>
      <c r="J557" s="152">
        <v>0</v>
      </c>
      <c r="K557" s="75">
        <v>0</v>
      </c>
      <c r="L557" s="75">
        <v>0</v>
      </c>
      <c r="M557" s="87">
        <v>0</v>
      </c>
      <c r="N557" s="87">
        <v>0</v>
      </c>
      <c r="O557" s="75">
        <v>0</v>
      </c>
      <c r="P557" s="75">
        <v>589435</v>
      </c>
      <c r="Q557" s="75">
        <v>0</v>
      </c>
      <c r="R557" s="75">
        <v>0</v>
      </c>
      <c r="S557" s="75">
        <v>0</v>
      </c>
      <c r="T557" s="75">
        <v>0</v>
      </c>
      <c r="U557" s="238"/>
      <c r="V557" s="238"/>
      <c r="W557" s="40"/>
      <c r="X557" s="40"/>
      <c r="Y557" s="40"/>
      <c r="Z557" s="40"/>
      <c r="AA557" s="40"/>
      <c r="AB557" s="40"/>
      <c r="AC557" s="40"/>
      <c r="AD557" s="40"/>
      <c r="AE557" s="40"/>
      <c r="AF557" s="40"/>
      <c r="AG557" s="40"/>
      <c r="AH557" s="40"/>
      <c r="AI557" s="40"/>
    </row>
    <row r="558" spans="1:39" s="186" customFormat="1" ht="22.5" customHeight="1" x14ac:dyDescent="0.25">
      <c r="A558" s="25">
        <v>103</v>
      </c>
      <c r="B558" s="34" t="s">
        <v>1211</v>
      </c>
      <c r="C558" s="75">
        <f t="shared" si="97"/>
        <v>1311967.6100000001</v>
      </c>
      <c r="D558" s="75">
        <f t="shared" si="98"/>
        <v>764421</v>
      </c>
      <c r="E558" s="87">
        <v>0</v>
      </c>
      <c r="F558" s="75">
        <v>0</v>
      </c>
      <c r="G558" s="87">
        <v>267117.90000000002</v>
      </c>
      <c r="H558" s="87">
        <v>167485.5</v>
      </c>
      <c r="I558" s="87">
        <v>329817.60000000003</v>
      </c>
      <c r="J558" s="152">
        <v>0</v>
      </c>
      <c r="K558" s="75">
        <v>0</v>
      </c>
      <c r="L558" s="75">
        <v>0</v>
      </c>
      <c r="M558" s="75">
        <v>0</v>
      </c>
      <c r="N558" s="75">
        <v>0</v>
      </c>
      <c r="O558" s="75">
        <v>0</v>
      </c>
      <c r="P558" s="87">
        <f>265594+265594</f>
        <v>531188</v>
      </c>
      <c r="Q558" s="75">
        <v>0</v>
      </c>
      <c r="R558" s="75">
        <f>7058.1+5716.32+3584.19</f>
        <v>16358.61</v>
      </c>
      <c r="S558" s="75">
        <v>0</v>
      </c>
      <c r="T558" s="75">
        <v>0</v>
      </c>
      <c r="U558" s="238"/>
      <c r="V558" s="238"/>
    </row>
    <row r="559" spans="1:39" s="186" customFormat="1" ht="22.5" customHeight="1" x14ac:dyDescent="0.25">
      <c r="A559" s="25">
        <v>104</v>
      </c>
      <c r="B559" s="34" t="s">
        <v>1212</v>
      </c>
      <c r="C559" s="75">
        <f t="shared" si="97"/>
        <v>589435</v>
      </c>
      <c r="D559" s="75">
        <f t="shared" si="98"/>
        <v>0</v>
      </c>
      <c r="E559" s="87">
        <v>0</v>
      </c>
      <c r="F559" s="75">
        <v>0</v>
      </c>
      <c r="G559" s="87">
        <v>0</v>
      </c>
      <c r="H559" s="87">
        <v>0</v>
      </c>
      <c r="I559" s="75">
        <v>0</v>
      </c>
      <c r="J559" s="152">
        <v>0</v>
      </c>
      <c r="K559" s="75">
        <v>0</v>
      </c>
      <c r="L559" s="75">
        <v>0</v>
      </c>
      <c r="M559" s="87">
        <v>0</v>
      </c>
      <c r="N559" s="87">
        <v>0</v>
      </c>
      <c r="O559" s="75">
        <v>0</v>
      </c>
      <c r="P559" s="75">
        <v>589435</v>
      </c>
      <c r="Q559" s="75">
        <v>0</v>
      </c>
      <c r="R559" s="75">
        <v>0</v>
      </c>
      <c r="S559" s="75">
        <v>0</v>
      </c>
      <c r="T559" s="75">
        <v>0</v>
      </c>
      <c r="U559" s="238"/>
      <c r="V559" s="238"/>
      <c r="W559" s="40"/>
      <c r="X559" s="40"/>
      <c r="Y559" s="40"/>
      <c r="Z559" s="40"/>
      <c r="AA559" s="40"/>
      <c r="AB559" s="40"/>
      <c r="AC559" s="40"/>
      <c r="AD559" s="40"/>
      <c r="AE559" s="40"/>
      <c r="AF559" s="40"/>
      <c r="AG559" s="40"/>
      <c r="AH559" s="40"/>
      <c r="AI559" s="40"/>
    </row>
    <row r="560" spans="1:39" s="186" customFormat="1" ht="22.5" customHeight="1" x14ac:dyDescent="0.25">
      <c r="A560" s="25">
        <v>105</v>
      </c>
      <c r="B560" s="34" t="s">
        <v>1213</v>
      </c>
      <c r="C560" s="75">
        <f t="shared" si="97"/>
        <v>26379960.939999998</v>
      </c>
      <c r="D560" s="75">
        <f t="shared" si="98"/>
        <v>0</v>
      </c>
      <c r="E560" s="87">
        <v>0</v>
      </c>
      <c r="F560" s="75">
        <v>0</v>
      </c>
      <c r="G560" s="75">
        <v>0</v>
      </c>
      <c r="H560" s="87">
        <v>0</v>
      </c>
      <c r="I560" s="75">
        <v>0</v>
      </c>
      <c r="J560" s="152">
        <v>0</v>
      </c>
      <c r="K560" s="75">
        <v>0</v>
      </c>
      <c r="L560" s="87">
        <v>0</v>
      </c>
      <c r="M560" s="75">
        <v>0</v>
      </c>
      <c r="N560" s="75">
        <v>0</v>
      </c>
      <c r="O560" s="75">
        <v>0</v>
      </c>
      <c r="P560" s="87">
        <v>350382</v>
      </c>
      <c r="Q560" s="75">
        <v>0</v>
      </c>
      <c r="R560" s="75">
        <v>545362.24</v>
      </c>
      <c r="S560" s="75">
        <v>25484216.699999999</v>
      </c>
      <c r="T560" s="75">
        <v>0</v>
      </c>
      <c r="U560" s="239"/>
      <c r="V560" s="239"/>
    </row>
    <row r="561" spans="1:39" s="186" customFormat="1" ht="22.5" customHeight="1" x14ac:dyDescent="0.25">
      <c r="A561" s="25">
        <v>106</v>
      </c>
      <c r="B561" s="34" t="s">
        <v>1214</v>
      </c>
      <c r="C561" s="75">
        <f t="shared" si="97"/>
        <v>7505333.4299999997</v>
      </c>
      <c r="D561" s="75">
        <f t="shared" si="98"/>
        <v>7005043.5</v>
      </c>
      <c r="E561" s="87">
        <v>7005043.5</v>
      </c>
      <c r="F561" s="87">
        <v>0</v>
      </c>
      <c r="G561" s="87">
        <v>0</v>
      </c>
      <c r="H561" s="87">
        <v>0</v>
      </c>
      <c r="I561" s="75">
        <v>0</v>
      </c>
      <c r="J561" s="152">
        <v>0</v>
      </c>
      <c r="K561" s="75">
        <v>0</v>
      </c>
      <c r="L561" s="87">
        <v>0</v>
      </c>
      <c r="M561" s="75">
        <v>0</v>
      </c>
      <c r="N561" s="87">
        <v>0</v>
      </c>
      <c r="O561" s="75">
        <v>0</v>
      </c>
      <c r="P561" s="87">
        <v>350382</v>
      </c>
      <c r="Q561" s="75">
        <v>0</v>
      </c>
      <c r="R561" s="75">
        <v>149907.93</v>
      </c>
      <c r="S561" s="75">
        <v>0</v>
      </c>
      <c r="T561" s="75">
        <v>0</v>
      </c>
      <c r="U561" s="239"/>
      <c r="V561" s="239"/>
      <c r="W561" s="40"/>
      <c r="X561" s="40"/>
      <c r="Y561" s="40"/>
      <c r="Z561" s="40"/>
      <c r="AA561" s="40"/>
      <c r="AB561" s="40"/>
      <c r="AC561" s="40"/>
      <c r="AD561" s="40"/>
      <c r="AE561" s="40"/>
      <c r="AF561" s="40"/>
      <c r="AG561" s="40"/>
      <c r="AH561" s="40"/>
      <c r="AI561" s="40"/>
    </row>
    <row r="562" spans="1:39" s="186" customFormat="1" ht="22.5" customHeight="1" x14ac:dyDescent="0.25">
      <c r="A562" s="25">
        <v>107</v>
      </c>
      <c r="B562" s="34" t="s">
        <v>1215</v>
      </c>
      <c r="C562" s="75">
        <f t="shared" si="97"/>
        <v>4372155.22</v>
      </c>
      <c r="D562" s="75">
        <f t="shared" si="98"/>
        <v>3937510.5</v>
      </c>
      <c r="E562" s="87">
        <v>3937510.5</v>
      </c>
      <c r="F562" s="87">
        <v>0</v>
      </c>
      <c r="G562" s="87">
        <v>0</v>
      </c>
      <c r="H562" s="87">
        <v>0</v>
      </c>
      <c r="I562" s="75">
        <v>0</v>
      </c>
      <c r="J562" s="152">
        <v>0</v>
      </c>
      <c r="K562" s="75">
        <v>0</v>
      </c>
      <c r="L562" s="87">
        <v>0</v>
      </c>
      <c r="M562" s="75">
        <v>0</v>
      </c>
      <c r="N562" s="87">
        <v>0</v>
      </c>
      <c r="O562" s="75">
        <v>0</v>
      </c>
      <c r="P562" s="87">
        <v>350382</v>
      </c>
      <c r="Q562" s="75">
        <v>0</v>
      </c>
      <c r="R562" s="75">
        <v>84262.720000000001</v>
      </c>
      <c r="S562" s="75">
        <v>0</v>
      </c>
      <c r="T562" s="75">
        <v>0</v>
      </c>
      <c r="U562" s="239"/>
      <c r="V562" s="239"/>
      <c r="W562" s="40"/>
      <c r="X562" s="40"/>
      <c r="Y562" s="40"/>
      <c r="Z562" s="40"/>
      <c r="AA562" s="40"/>
      <c r="AB562" s="40"/>
      <c r="AC562" s="40"/>
      <c r="AD562" s="40"/>
      <c r="AE562" s="40"/>
      <c r="AF562" s="40"/>
      <c r="AG562" s="40"/>
      <c r="AH562" s="40"/>
      <c r="AI562" s="40"/>
    </row>
    <row r="563" spans="1:39" s="186" customFormat="1" ht="22.5" customHeight="1" x14ac:dyDescent="0.25">
      <c r="A563" s="25">
        <v>108</v>
      </c>
      <c r="B563" s="34" t="s">
        <v>1216</v>
      </c>
      <c r="C563" s="75">
        <f t="shared" si="97"/>
        <v>1028886</v>
      </c>
      <c r="D563" s="75">
        <f t="shared" si="98"/>
        <v>0</v>
      </c>
      <c r="E563" s="87">
        <v>0</v>
      </c>
      <c r="F563" s="75">
        <v>0</v>
      </c>
      <c r="G563" s="75">
        <v>0</v>
      </c>
      <c r="H563" s="87">
        <v>0</v>
      </c>
      <c r="I563" s="75">
        <v>0</v>
      </c>
      <c r="J563" s="152">
        <v>0</v>
      </c>
      <c r="K563" s="75">
        <v>0</v>
      </c>
      <c r="L563" s="87">
        <v>0</v>
      </c>
      <c r="M563" s="75">
        <v>0</v>
      </c>
      <c r="N563" s="75">
        <v>0</v>
      </c>
      <c r="O563" s="75">
        <v>0</v>
      </c>
      <c r="P563" s="87">
        <f>514428+514458</f>
        <v>1028886</v>
      </c>
      <c r="Q563" s="75">
        <v>0</v>
      </c>
      <c r="R563" s="75">
        <v>0</v>
      </c>
      <c r="S563" s="75">
        <v>0</v>
      </c>
      <c r="T563" s="75">
        <v>0</v>
      </c>
      <c r="U563" s="239"/>
      <c r="V563" s="239"/>
    </row>
    <row r="564" spans="1:39" s="186" customFormat="1" ht="22.5" customHeight="1" x14ac:dyDescent="0.25">
      <c r="A564" s="25">
        <v>109</v>
      </c>
      <c r="B564" s="34" t="s">
        <v>214</v>
      </c>
      <c r="C564" s="75">
        <f t="shared" si="97"/>
        <v>53551480.270000003</v>
      </c>
      <c r="D564" s="75">
        <f t="shared" si="98"/>
        <v>0</v>
      </c>
      <c r="E564" s="87">
        <v>0</v>
      </c>
      <c r="F564" s="75">
        <v>0</v>
      </c>
      <c r="G564" s="75">
        <v>0</v>
      </c>
      <c r="H564" s="87">
        <v>0</v>
      </c>
      <c r="I564" s="75">
        <v>0</v>
      </c>
      <c r="J564" s="152">
        <v>0</v>
      </c>
      <c r="K564" s="75">
        <v>0</v>
      </c>
      <c r="L564" s="87">
        <v>0</v>
      </c>
      <c r="M564" s="75">
        <v>0</v>
      </c>
      <c r="N564" s="75">
        <v>52429489.200000003</v>
      </c>
      <c r="O564" s="75">
        <v>0</v>
      </c>
      <c r="P564" s="87">
        <v>0</v>
      </c>
      <c r="Q564" s="75">
        <v>0</v>
      </c>
      <c r="R564" s="75">
        <v>1121991.07</v>
      </c>
      <c r="S564" s="75">
        <v>0</v>
      </c>
      <c r="T564" s="75">
        <v>0</v>
      </c>
      <c r="U564" s="239"/>
      <c r="V564" s="239"/>
    </row>
    <row r="565" spans="1:39" s="186" customFormat="1" ht="22.5" customHeight="1" x14ac:dyDescent="0.25">
      <c r="A565" s="25">
        <v>110</v>
      </c>
      <c r="B565" s="34" t="s">
        <v>216</v>
      </c>
      <c r="C565" s="75">
        <f t="shared" si="97"/>
        <v>68543536.25</v>
      </c>
      <c r="D565" s="75">
        <f t="shared" si="98"/>
        <v>0</v>
      </c>
      <c r="E565" s="87">
        <v>0</v>
      </c>
      <c r="F565" s="75">
        <v>0</v>
      </c>
      <c r="G565" s="75">
        <v>0</v>
      </c>
      <c r="H565" s="87">
        <v>0</v>
      </c>
      <c r="I565" s="75">
        <v>0</v>
      </c>
      <c r="J565" s="152">
        <v>0</v>
      </c>
      <c r="K565" s="75">
        <v>0</v>
      </c>
      <c r="L565" s="87">
        <v>28366235.699999999</v>
      </c>
      <c r="M565" s="75">
        <v>0</v>
      </c>
      <c r="N565" s="87">
        <v>38741201.399999999</v>
      </c>
      <c r="O565" s="75">
        <v>0</v>
      </c>
      <c r="P565" s="75">
        <v>0</v>
      </c>
      <c r="Q565" s="87">
        <v>0</v>
      </c>
      <c r="R565" s="87">
        <f>607037.44+829061.71</f>
        <v>1436099.15</v>
      </c>
      <c r="S565" s="75">
        <v>0</v>
      </c>
      <c r="T565" s="75">
        <v>0</v>
      </c>
      <c r="U565" s="239"/>
      <c r="V565" s="239"/>
    </row>
    <row r="566" spans="1:39" s="186" customFormat="1" ht="22.5" customHeight="1" x14ac:dyDescent="0.25">
      <c r="A566" s="25">
        <v>111</v>
      </c>
      <c r="B566" s="34" t="s">
        <v>218</v>
      </c>
      <c r="C566" s="75">
        <f t="shared" si="97"/>
        <v>59464145.879999995</v>
      </c>
      <c r="D566" s="75">
        <f t="shared" si="98"/>
        <v>0</v>
      </c>
      <c r="E566" s="87">
        <v>0</v>
      </c>
      <c r="F566" s="75">
        <v>0</v>
      </c>
      <c r="G566" s="75">
        <v>0</v>
      </c>
      <c r="H566" s="87">
        <v>0</v>
      </c>
      <c r="I566" s="75">
        <v>0</v>
      </c>
      <c r="J566" s="152">
        <v>0</v>
      </c>
      <c r="K566" s="75">
        <v>0</v>
      </c>
      <c r="L566" s="87">
        <v>25408451.600000001</v>
      </c>
      <c r="M566" s="75">
        <v>0</v>
      </c>
      <c r="N566" s="87">
        <v>32809823.199999999</v>
      </c>
      <c r="O566" s="75">
        <v>0</v>
      </c>
      <c r="P566" s="75">
        <v>0</v>
      </c>
      <c r="Q566" s="87">
        <v>0</v>
      </c>
      <c r="R566" s="87">
        <f>543740.86+702130.22</f>
        <v>1245871.08</v>
      </c>
      <c r="S566" s="75">
        <v>0</v>
      </c>
      <c r="T566" s="75">
        <v>0</v>
      </c>
      <c r="U566" s="239"/>
      <c r="V566" s="239"/>
    </row>
    <row r="567" spans="1:39" s="108" customFormat="1" ht="22.5" customHeight="1" x14ac:dyDescent="0.25">
      <c r="A567" s="25">
        <v>112</v>
      </c>
      <c r="B567" s="274" t="s">
        <v>1217</v>
      </c>
      <c r="C567" s="75">
        <f t="shared" si="97"/>
        <v>9885297.6699999999</v>
      </c>
      <c r="D567" s="75">
        <f t="shared" si="98"/>
        <v>9335143.5999999996</v>
      </c>
      <c r="E567" s="263">
        <v>0</v>
      </c>
      <c r="F567" s="261">
        <v>9335143.5999999996</v>
      </c>
      <c r="G567" s="261">
        <v>0</v>
      </c>
      <c r="H567" s="263">
        <v>0</v>
      </c>
      <c r="I567" s="261">
        <v>0</v>
      </c>
      <c r="J567" s="262">
        <v>0</v>
      </c>
      <c r="K567" s="261">
        <v>0</v>
      </c>
      <c r="L567" s="263">
        <v>0</v>
      </c>
      <c r="M567" s="261">
        <v>0</v>
      </c>
      <c r="N567" s="263">
        <v>0</v>
      </c>
      <c r="O567" s="261">
        <v>0</v>
      </c>
      <c r="P567" s="261">
        <v>350382</v>
      </c>
      <c r="Q567" s="263">
        <v>0</v>
      </c>
      <c r="R567" s="263">
        <v>199772.07</v>
      </c>
      <c r="S567" s="261">
        <v>0</v>
      </c>
      <c r="T567" s="261">
        <v>0</v>
      </c>
      <c r="U567" s="238"/>
      <c r="V567" s="238"/>
      <c r="W567" s="40"/>
      <c r="X567" s="40"/>
      <c r="Y567" s="40"/>
      <c r="Z567" s="40"/>
      <c r="AA567" s="40"/>
      <c r="AB567" s="40"/>
      <c r="AC567" s="40"/>
      <c r="AD567" s="40"/>
      <c r="AE567" s="40"/>
      <c r="AF567" s="40"/>
      <c r="AG567" s="40"/>
      <c r="AH567" s="40"/>
      <c r="AI567" s="40"/>
    </row>
    <row r="568" spans="1:39" s="186" customFormat="1" ht="22.5" customHeight="1" x14ac:dyDescent="0.25">
      <c r="A568" s="25">
        <v>113</v>
      </c>
      <c r="B568" s="34" t="s">
        <v>220</v>
      </c>
      <c r="C568" s="75">
        <f t="shared" si="97"/>
        <v>45303431.559999995</v>
      </c>
      <c r="D568" s="75">
        <f t="shared" si="98"/>
        <v>0</v>
      </c>
      <c r="E568" s="87">
        <v>0</v>
      </c>
      <c r="F568" s="75">
        <v>0</v>
      </c>
      <c r="G568" s="75">
        <v>0</v>
      </c>
      <c r="H568" s="87">
        <v>0</v>
      </c>
      <c r="I568" s="75">
        <v>0</v>
      </c>
      <c r="J568" s="152">
        <v>0</v>
      </c>
      <c r="K568" s="75">
        <v>0</v>
      </c>
      <c r="L568" s="87">
        <v>18748490.199999999</v>
      </c>
      <c r="M568" s="75">
        <v>0</v>
      </c>
      <c r="N568" s="87">
        <v>25605760.399999999</v>
      </c>
      <c r="O568" s="75">
        <v>0</v>
      </c>
      <c r="P568" s="75">
        <v>0</v>
      </c>
      <c r="Q568" s="87">
        <v>0</v>
      </c>
      <c r="R568" s="87">
        <f>401217.69+547963.27</f>
        <v>949180.96</v>
      </c>
      <c r="S568" s="75">
        <v>0</v>
      </c>
      <c r="T568" s="75">
        <v>0</v>
      </c>
      <c r="U568" s="239"/>
      <c r="V568" s="239"/>
    </row>
    <row r="569" spans="1:39" s="186" customFormat="1" ht="22.5" customHeight="1" x14ac:dyDescent="0.25">
      <c r="A569" s="25">
        <v>114</v>
      </c>
      <c r="B569" s="38" t="s">
        <v>621</v>
      </c>
      <c r="C569" s="75">
        <f t="shared" si="97"/>
        <v>1308220.2100000002</v>
      </c>
      <c r="D569" s="75">
        <f t="shared" si="98"/>
        <v>0</v>
      </c>
      <c r="E569" s="87">
        <v>0</v>
      </c>
      <c r="F569" s="75">
        <v>0</v>
      </c>
      <c r="G569" s="75">
        <v>0</v>
      </c>
      <c r="H569" s="87">
        <v>0</v>
      </c>
      <c r="I569" s="75">
        <v>0</v>
      </c>
      <c r="J569" s="152">
        <v>0</v>
      </c>
      <c r="K569" s="75">
        <v>0</v>
      </c>
      <c r="L569" s="75">
        <v>0</v>
      </c>
      <c r="M569" s="75">
        <v>0</v>
      </c>
      <c r="N569" s="75">
        <v>1280810.8600000001</v>
      </c>
      <c r="O569" s="75">
        <v>0</v>
      </c>
      <c r="P569" s="75">
        <v>0</v>
      </c>
      <c r="Q569" s="75">
        <v>0</v>
      </c>
      <c r="R569" s="75">
        <v>27409.35</v>
      </c>
      <c r="S569" s="75">
        <v>0</v>
      </c>
      <c r="T569" s="75">
        <v>0</v>
      </c>
      <c r="U569" s="239"/>
      <c r="V569" s="239"/>
      <c r="W569" s="40"/>
      <c r="X569" s="40"/>
      <c r="Y569" s="40"/>
      <c r="Z569" s="40"/>
      <c r="AA569" s="40"/>
      <c r="AB569" s="40"/>
      <c r="AC569" s="40"/>
      <c r="AD569" s="40"/>
      <c r="AE569" s="40"/>
      <c r="AF569" s="40"/>
      <c r="AG569" s="40"/>
      <c r="AH569" s="40"/>
      <c r="AI569" s="40"/>
      <c r="AJ569" s="40"/>
      <c r="AK569" s="40"/>
      <c r="AL569" s="40"/>
      <c r="AM569" s="40"/>
    </row>
    <row r="570" spans="1:39" s="186" customFormat="1" ht="22.5" customHeight="1" x14ac:dyDescent="0.25">
      <c r="A570" s="25">
        <v>115</v>
      </c>
      <c r="B570" s="34" t="s">
        <v>233</v>
      </c>
      <c r="C570" s="75">
        <f t="shared" si="97"/>
        <v>6429549.1100000003</v>
      </c>
      <c r="D570" s="75">
        <f t="shared" si="98"/>
        <v>6429549.1100000003</v>
      </c>
      <c r="E570" s="87">
        <v>0</v>
      </c>
      <c r="F570" s="75">
        <v>6429549.1100000003</v>
      </c>
      <c r="G570" s="75">
        <v>0</v>
      </c>
      <c r="H570" s="87">
        <v>0</v>
      </c>
      <c r="I570" s="87">
        <v>0</v>
      </c>
      <c r="J570" s="152">
        <v>0</v>
      </c>
      <c r="K570" s="75">
        <v>0</v>
      </c>
      <c r="L570" s="75">
        <v>0</v>
      </c>
      <c r="M570" s="75">
        <v>0</v>
      </c>
      <c r="N570" s="75">
        <v>0</v>
      </c>
      <c r="O570" s="75">
        <v>0</v>
      </c>
      <c r="P570" s="75">
        <v>0</v>
      </c>
      <c r="Q570" s="75">
        <v>0</v>
      </c>
      <c r="R570" s="75">
        <v>0</v>
      </c>
      <c r="S570" s="87">
        <v>0</v>
      </c>
      <c r="T570" s="75">
        <v>0</v>
      </c>
      <c r="U570" s="238"/>
      <c r="V570" s="238"/>
    </row>
    <row r="571" spans="1:39" s="186" customFormat="1" ht="22.5" customHeight="1" x14ac:dyDescent="0.25">
      <c r="A571" s="25">
        <v>116</v>
      </c>
      <c r="B571" s="34" t="s">
        <v>235</v>
      </c>
      <c r="C571" s="75">
        <f t="shared" si="97"/>
        <v>12827901.35</v>
      </c>
      <c r="D571" s="75">
        <f t="shared" si="98"/>
        <v>0</v>
      </c>
      <c r="E571" s="87">
        <v>0</v>
      </c>
      <c r="F571" s="75">
        <v>0</v>
      </c>
      <c r="G571" s="75">
        <v>0</v>
      </c>
      <c r="H571" s="87">
        <v>0</v>
      </c>
      <c r="I571" s="87">
        <v>0</v>
      </c>
      <c r="J571" s="152">
        <v>0</v>
      </c>
      <c r="K571" s="75">
        <v>0</v>
      </c>
      <c r="L571" s="87">
        <v>12827901.35</v>
      </c>
      <c r="M571" s="75">
        <v>0</v>
      </c>
      <c r="N571" s="75">
        <v>0</v>
      </c>
      <c r="O571" s="75">
        <v>0</v>
      </c>
      <c r="P571" s="87">
        <v>0</v>
      </c>
      <c r="Q571" s="75">
        <v>0</v>
      </c>
      <c r="R571" s="75">
        <v>0</v>
      </c>
      <c r="S571" s="75">
        <v>0</v>
      </c>
      <c r="T571" s="75">
        <v>0</v>
      </c>
      <c r="U571" s="239"/>
      <c r="V571" s="239"/>
    </row>
    <row r="572" spans="1:39" s="186" customFormat="1" ht="22.5" customHeight="1" x14ac:dyDescent="0.25">
      <c r="A572" s="25">
        <v>117</v>
      </c>
      <c r="B572" s="34" t="s">
        <v>1218</v>
      </c>
      <c r="C572" s="75">
        <f t="shared" si="97"/>
        <v>159073.20000000001</v>
      </c>
      <c r="D572" s="75">
        <f t="shared" si="98"/>
        <v>0</v>
      </c>
      <c r="E572" s="87">
        <v>0</v>
      </c>
      <c r="F572" s="75">
        <v>0</v>
      </c>
      <c r="G572" s="75">
        <v>0</v>
      </c>
      <c r="H572" s="87">
        <v>0</v>
      </c>
      <c r="I572" s="87">
        <v>0</v>
      </c>
      <c r="J572" s="152">
        <v>0</v>
      </c>
      <c r="K572" s="75">
        <v>0</v>
      </c>
      <c r="L572" s="75">
        <v>0</v>
      </c>
      <c r="M572" s="75">
        <v>0</v>
      </c>
      <c r="N572" s="75">
        <v>0</v>
      </c>
      <c r="O572" s="75">
        <v>0</v>
      </c>
      <c r="P572" s="87">
        <v>159073.20000000001</v>
      </c>
      <c r="Q572" s="75">
        <v>0</v>
      </c>
      <c r="R572" s="75">
        <v>0</v>
      </c>
      <c r="S572" s="75">
        <v>0</v>
      </c>
      <c r="T572" s="75">
        <v>0</v>
      </c>
      <c r="U572" s="238"/>
      <c r="V572" s="238"/>
    </row>
    <row r="573" spans="1:39" s="186" customFormat="1" ht="22.5" customHeight="1" x14ac:dyDescent="0.25">
      <c r="A573" s="25">
        <v>118</v>
      </c>
      <c r="B573" s="34" t="s">
        <v>1219</v>
      </c>
      <c r="C573" s="75">
        <f t="shared" si="97"/>
        <v>871099.53</v>
      </c>
      <c r="D573" s="75">
        <f t="shared" si="98"/>
        <v>592819.20000000007</v>
      </c>
      <c r="E573" s="87">
        <v>0</v>
      </c>
      <c r="F573" s="75">
        <v>0</v>
      </c>
      <c r="G573" s="75">
        <v>0</v>
      </c>
      <c r="H573" s="87">
        <v>0</v>
      </c>
      <c r="I573" s="87">
        <v>592819.20000000007</v>
      </c>
      <c r="J573" s="152">
        <v>0</v>
      </c>
      <c r="K573" s="75">
        <v>0</v>
      </c>
      <c r="L573" s="75">
        <v>0</v>
      </c>
      <c r="M573" s="75">
        <v>0</v>
      </c>
      <c r="N573" s="75">
        <v>0</v>
      </c>
      <c r="O573" s="75">
        <v>0</v>
      </c>
      <c r="P573" s="87">
        <v>265594</v>
      </c>
      <c r="Q573" s="75">
        <v>0</v>
      </c>
      <c r="R573" s="75">
        <v>12686.33</v>
      </c>
      <c r="S573" s="75">
        <v>0</v>
      </c>
      <c r="T573" s="75">
        <v>0</v>
      </c>
      <c r="U573" s="238"/>
      <c r="V573" s="238"/>
      <c r="W573" s="40"/>
      <c r="X573" s="40"/>
      <c r="Y573" s="40"/>
      <c r="Z573" s="40"/>
      <c r="AA573" s="40"/>
      <c r="AB573" s="40"/>
      <c r="AC573" s="40"/>
      <c r="AD573" s="40"/>
      <c r="AE573" s="40"/>
      <c r="AF573" s="40"/>
      <c r="AG573" s="40"/>
      <c r="AH573" s="40"/>
      <c r="AI573" s="40"/>
    </row>
    <row r="574" spans="1:39" s="186" customFormat="1" ht="22.5" customHeight="1" x14ac:dyDescent="0.25">
      <c r="A574" s="25">
        <v>119</v>
      </c>
      <c r="B574" s="34" t="s">
        <v>238</v>
      </c>
      <c r="C574" s="75">
        <f t="shared" si="97"/>
        <v>5294633.6300000008</v>
      </c>
      <c r="D574" s="75">
        <f t="shared" si="98"/>
        <v>0</v>
      </c>
      <c r="E574" s="87">
        <v>0</v>
      </c>
      <c r="F574" s="87">
        <v>0</v>
      </c>
      <c r="G574" s="87">
        <v>0</v>
      </c>
      <c r="H574" s="87">
        <v>0</v>
      </c>
      <c r="I574" s="87">
        <v>0</v>
      </c>
      <c r="J574" s="152">
        <v>0</v>
      </c>
      <c r="K574" s="75">
        <v>0</v>
      </c>
      <c r="L574" s="87">
        <v>5183702.4000000004</v>
      </c>
      <c r="M574" s="75">
        <v>0</v>
      </c>
      <c r="N574" s="75">
        <v>0</v>
      </c>
      <c r="O574" s="75">
        <v>0</v>
      </c>
      <c r="P574" s="87">
        <v>0</v>
      </c>
      <c r="Q574" s="75">
        <v>0</v>
      </c>
      <c r="R574" s="75">
        <v>110931.23</v>
      </c>
      <c r="S574" s="75">
        <v>0</v>
      </c>
      <c r="T574" s="75">
        <v>0</v>
      </c>
      <c r="U574" s="239"/>
      <c r="V574" s="239"/>
    </row>
    <row r="575" spans="1:39" s="186" customFormat="1" ht="22.5" customHeight="1" x14ac:dyDescent="0.25">
      <c r="A575" s="25">
        <v>120</v>
      </c>
      <c r="B575" s="34" t="s">
        <v>1220</v>
      </c>
      <c r="C575" s="75">
        <f t="shared" si="97"/>
        <v>350382</v>
      </c>
      <c r="D575" s="75">
        <f t="shared" si="98"/>
        <v>0</v>
      </c>
      <c r="E575" s="87">
        <v>0</v>
      </c>
      <c r="F575" s="87">
        <v>0</v>
      </c>
      <c r="G575" s="87">
        <v>0</v>
      </c>
      <c r="H575" s="87">
        <v>0</v>
      </c>
      <c r="I575" s="75">
        <v>0</v>
      </c>
      <c r="J575" s="152">
        <v>0</v>
      </c>
      <c r="K575" s="75">
        <v>0</v>
      </c>
      <c r="L575" s="87">
        <v>0</v>
      </c>
      <c r="M575" s="75">
        <v>0</v>
      </c>
      <c r="N575" s="87">
        <v>0</v>
      </c>
      <c r="O575" s="75">
        <v>0</v>
      </c>
      <c r="P575" s="87">
        <v>350382</v>
      </c>
      <c r="Q575" s="75">
        <v>0</v>
      </c>
      <c r="R575" s="75">
        <v>0</v>
      </c>
      <c r="S575" s="75">
        <v>0</v>
      </c>
      <c r="T575" s="75">
        <v>0</v>
      </c>
      <c r="U575" s="239"/>
      <c r="V575" s="239"/>
      <c r="W575" s="40"/>
      <c r="X575" s="40"/>
      <c r="Y575" s="40"/>
      <c r="Z575" s="40"/>
      <c r="AA575" s="40"/>
      <c r="AB575" s="40"/>
      <c r="AC575" s="40"/>
      <c r="AD575" s="40"/>
      <c r="AE575" s="40"/>
      <c r="AF575" s="40"/>
      <c r="AG575" s="40"/>
      <c r="AH575" s="40"/>
      <c r="AI575" s="40"/>
    </row>
    <row r="576" spans="1:39" s="186" customFormat="1" ht="24.75" customHeight="1" x14ac:dyDescent="0.25">
      <c r="A576" s="25">
        <v>121</v>
      </c>
      <c r="B576" s="34" t="s">
        <v>240</v>
      </c>
      <c r="C576" s="75">
        <f t="shared" si="97"/>
        <v>6755181.2199999997</v>
      </c>
      <c r="D576" s="75">
        <f t="shared" si="98"/>
        <v>0</v>
      </c>
      <c r="E576" s="87">
        <v>0</v>
      </c>
      <c r="F576" s="75">
        <v>0</v>
      </c>
      <c r="G576" s="75">
        <v>0</v>
      </c>
      <c r="H576" s="87">
        <v>0</v>
      </c>
      <c r="I576" s="75">
        <v>0</v>
      </c>
      <c r="J576" s="152">
        <v>0</v>
      </c>
      <c r="K576" s="75">
        <v>0</v>
      </c>
      <c r="L576" s="87">
        <v>6593875.79</v>
      </c>
      <c r="M576" s="75">
        <v>0</v>
      </c>
      <c r="N576" s="75">
        <v>0</v>
      </c>
      <c r="O576" s="75">
        <v>0</v>
      </c>
      <c r="P576" s="87">
        <v>0</v>
      </c>
      <c r="Q576" s="75">
        <v>0</v>
      </c>
      <c r="R576" s="75">
        <v>161305.43</v>
      </c>
      <c r="S576" s="75">
        <v>0</v>
      </c>
      <c r="T576" s="75">
        <v>0</v>
      </c>
      <c r="U576" s="239"/>
      <c r="V576" s="239"/>
    </row>
    <row r="577" spans="1:39" s="186" customFormat="1" ht="24.75" customHeight="1" x14ac:dyDescent="0.25">
      <c r="A577" s="25">
        <v>122</v>
      </c>
      <c r="B577" s="38" t="s">
        <v>625</v>
      </c>
      <c r="C577" s="75">
        <f t="shared" si="97"/>
        <v>4886132.37</v>
      </c>
      <c r="D577" s="75">
        <f t="shared" si="98"/>
        <v>0</v>
      </c>
      <c r="E577" s="87">
        <v>0</v>
      </c>
      <c r="F577" s="75">
        <v>0</v>
      </c>
      <c r="G577" s="75">
        <v>0</v>
      </c>
      <c r="H577" s="87">
        <v>0</v>
      </c>
      <c r="I577" s="87">
        <v>0</v>
      </c>
      <c r="J577" s="152">
        <v>0</v>
      </c>
      <c r="K577" s="75">
        <v>0</v>
      </c>
      <c r="L577" s="75">
        <v>4783759.91</v>
      </c>
      <c r="M577" s="75">
        <v>0</v>
      </c>
      <c r="N577" s="75">
        <v>0</v>
      </c>
      <c r="O577" s="75">
        <v>0</v>
      </c>
      <c r="P577" s="87">
        <v>0</v>
      </c>
      <c r="Q577" s="75">
        <v>0</v>
      </c>
      <c r="R577" s="75">
        <v>102372.46</v>
      </c>
      <c r="S577" s="75">
        <v>0</v>
      </c>
      <c r="T577" s="75">
        <v>0</v>
      </c>
      <c r="U577" s="238"/>
      <c r="V577" s="238"/>
      <c r="X577" s="40"/>
      <c r="Y577" s="40"/>
      <c r="Z577" s="40"/>
      <c r="AA577" s="40"/>
      <c r="AB577" s="40"/>
      <c r="AC577" s="40"/>
      <c r="AD577" s="40"/>
      <c r="AE577" s="40"/>
      <c r="AF577" s="40"/>
      <c r="AG577" s="40"/>
      <c r="AH577" s="40"/>
      <c r="AI577" s="40"/>
      <c r="AJ577" s="40"/>
      <c r="AK577" s="40"/>
      <c r="AL577" s="40"/>
      <c r="AM577" s="40"/>
    </row>
    <row r="578" spans="1:39" s="186" customFormat="1" ht="24.75" customHeight="1" x14ac:dyDescent="0.25">
      <c r="A578" s="25">
        <v>123</v>
      </c>
      <c r="B578" s="34" t="s">
        <v>243</v>
      </c>
      <c r="C578" s="75">
        <f t="shared" si="97"/>
        <v>16126293.210000001</v>
      </c>
      <c r="D578" s="75">
        <f t="shared" si="98"/>
        <v>0</v>
      </c>
      <c r="E578" s="87">
        <v>0</v>
      </c>
      <c r="F578" s="75">
        <v>0</v>
      </c>
      <c r="G578" s="75">
        <v>0</v>
      </c>
      <c r="H578" s="87">
        <v>0</v>
      </c>
      <c r="I578" s="75">
        <v>0</v>
      </c>
      <c r="J578" s="152">
        <v>3</v>
      </c>
      <c r="K578" s="75">
        <v>15788421</v>
      </c>
      <c r="L578" s="87">
        <v>0</v>
      </c>
      <c r="M578" s="75">
        <v>0</v>
      </c>
      <c r="N578" s="75">
        <v>0</v>
      </c>
      <c r="O578" s="75">
        <v>0</v>
      </c>
      <c r="P578" s="87">
        <v>0</v>
      </c>
      <c r="Q578" s="75">
        <v>0</v>
      </c>
      <c r="R578" s="75">
        <v>337872.21</v>
      </c>
      <c r="S578" s="75">
        <v>0</v>
      </c>
      <c r="T578" s="75">
        <v>0</v>
      </c>
      <c r="U578" s="239"/>
      <c r="V578" s="239"/>
    </row>
    <row r="579" spans="1:39" s="186" customFormat="1" ht="22.5" customHeight="1" x14ac:dyDescent="0.25">
      <c r="A579" s="25">
        <v>124</v>
      </c>
      <c r="B579" s="34" t="s">
        <v>246</v>
      </c>
      <c r="C579" s="75">
        <f t="shared" si="97"/>
        <v>18034758.48</v>
      </c>
      <c r="D579" s="75">
        <f t="shared" si="98"/>
        <v>0</v>
      </c>
      <c r="E579" s="87">
        <v>0</v>
      </c>
      <c r="F579" s="87">
        <v>0</v>
      </c>
      <c r="G579" s="75">
        <v>0</v>
      </c>
      <c r="H579" s="87">
        <v>0</v>
      </c>
      <c r="I579" s="75">
        <v>0</v>
      </c>
      <c r="J579" s="152">
        <v>0</v>
      </c>
      <c r="K579" s="75">
        <v>0</v>
      </c>
      <c r="L579" s="87">
        <v>17656900.800000001</v>
      </c>
      <c r="M579" s="75">
        <v>0</v>
      </c>
      <c r="N579" s="75">
        <v>0</v>
      </c>
      <c r="O579" s="75">
        <v>0</v>
      </c>
      <c r="P579" s="87">
        <v>0</v>
      </c>
      <c r="Q579" s="75">
        <v>0</v>
      </c>
      <c r="R579" s="75">
        <v>377857.68</v>
      </c>
      <c r="S579" s="75">
        <v>0</v>
      </c>
      <c r="T579" s="75">
        <v>0</v>
      </c>
      <c r="U579" s="238"/>
      <c r="V579" s="238"/>
    </row>
    <row r="580" spans="1:39" s="186" customFormat="1" ht="22.5" customHeight="1" x14ac:dyDescent="0.25">
      <c r="A580" s="25">
        <v>125</v>
      </c>
      <c r="B580" s="34" t="s">
        <v>1221</v>
      </c>
      <c r="C580" s="75">
        <f t="shared" si="97"/>
        <v>265594</v>
      </c>
      <c r="D580" s="75">
        <f t="shared" si="98"/>
        <v>0</v>
      </c>
      <c r="E580" s="87">
        <v>0</v>
      </c>
      <c r="F580" s="87">
        <v>0</v>
      </c>
      <c r="G580" s="75">
        <v>0</v>
      </c>
      <c r="H580" s="87">
        <v>0</v>
      </c>
      <c r="I580" s="75">
        <v>0</v>
      </c>
      <c r="J580" s="152">
        <v>0</v>
      </c>
      <c r="K580" s="75">
        <v>0</v>
      </c>
      <c r="L580" s="87">
        <v>0</v>
      </c>
      <c r="M580" s="75">
        <v>0</v>
      </c>
      <c r="N580" s="75">
        <v>0</v>
      </c>
      <c r="O580" s="75">
        <v>0</v>
      </c>
      <c r="P580" s="87">
        <v>265594</v>
      </c>
      <c r="Q580" s="75">
        <v>0</v>
      </c>
      <c r="R580" s="75">
        <v>0</v>
      </c>
      <c r="S580" s="75">
        <v>0</v>
      </c>
      <c r="T580" s="75">
        <v>0</v>
      </c>
      <c r="U580" s="238"/>
      <c r="V580" s="238"/>
    </row>
    <row r="581" spans="1:39" s="186" customFormat="1" ht="22.5" customHeight="1" x14ac:dyDescent="0.25">
      <c r="A581" s="25">
        <v>126</v>
      </c>
      <c r="B581" s="34" t="s">
        <v>1222</v>
      </c>
      <c r="C581" s="75">
        <f t="shared" si="97"/>
        <v>23768737.870000001</v>
      </c>
      <c r="D581" s="75">
        <f t="shared" si="98"/>
        <v>0</v>
      </c>
      <c r="E581" s="87">
        <v>0</v>
      </c>
      <c r="F581" s="87">
        <v>0</v>
      </c>
      <c r="G581" s="75">
        <v>0</v>
      </c>
      <c r="H581" s="87">
        <v>0</v>
      </c>
      <c r="I581" s="75">
        <v>0</v>
      </c>
      <c r="J581" s="152">
        <v>0</v>
      </c>
      <c r="K581" s="75">
        <v>0</v>
      </c>
      <c r="L581" s="87">
        <v>22584662.100000001</v>
      </c>
      <c r="M581" s="75">
        <v>0</v>
      </c>
      <c r="N581" s="75">
        <v>0</v>
      </c>
      <c r="O581" s="75">
        <v>0</v>
      </c>
      <c r="P581" s="87">
        <f>350382+350382</f>
        <v>700764</v>
      </c>
      <c r="Q581" s="75">
        <v>0</v>
      </c>
      <c r="R581" s="75">
        <v>483311.77</v>
      </c>
      <c r="S581" s="75">
        <v>0</v>
      </c>
      <c r="T581" s="75">
        <v>0</v>
      </c>
      <c r="U581" s="238"/>
      <c r="V581" s="238"/>
    </row>
    <row r="582" spans="1:39" s="186" customFormat="1" ht="22.5" customHeight="1" x14ac:dyDescent="0.25">
      <c r="A582" s="25">
        <v>127</v>
      </c>
      <c r="B582" s="34" t="s">
        <v>248</v>
      </c>
      <c r="C582" s="75">
        <f t="shared" si="97"/>
        <v>21835761.299999997</v>
      </c>
      <c r="D582" s="75">
        <f t="shared" si="98"/>
        <v>0</v>
      </c>
      <c r="E582" s="87">
        <v>0</v>
      </c>
      <c r="F582" s="75">
        <v>0</v>
      </c>
      <c r="G582" s="75">
        <v>0</v>
      </c>
      <c r="H582" s="87">
        <v>0</v>
      </c>
      <c r="I582" s="75">
        <v>0</v>
      </c>
      <c r="J582" s="152">
        <v>0</v>
      </c>
      <c r="K582" s="75">
        <v>0</v>
      </c>
      <c r="L582" s="87">
        <v>21378266.399999999</v>
      </c>
      <c r="M582" s="75">
        <v>0</v>
      </c>
      <c r="N582" s="75">
        <v>0</v>
      </c>
      <c r="O582" s="75">
        <v>0</v>
      </c>
      <c r="P582" s="87">
        <v>0</v>
      </c>
      <c r="Q582" s="75">
        <v>0</v>
      </c>
      <c r="R582" s="75">
        <v>457494.9</v>
      </c>
      <c r="S582" s="75">
        <v>0</v>
      </c>
      <c r="T582" s="75">
        <v>0</v>
      </c>
      <c r="U582" s="238"/>
      <c r="V582" s="238"/>
      <c r="W582" s="40"/>
      <c r="X582" s="40"/>
      <c r="Y582" s="40"/>
      <c r="Z582" s="40"/>
      <c r="AA582" s="40"/>
      <c r="AB582" s="40"/>
      <c r="AC582" s="40"/>
      <c r="AD582" s="40"/>
      <c r="AE582" s="40"/>
      <c r="AF582" s="40"/>
      <c r="AG582" s="40"/>
      <c r="AH582" s="40"/>
      <c r="AI582" s="40"/>
      <c r="AJ582" s="40"/>
      <c r="AK582" s="40"/>
      <c r="AL582" s="40"/>
      <c r="AM582" s="40"/>
    </row>
    <row r="583" spans="1:39" s="44" customFormat="1" ht="22.5" customHeight="1" x14ac:dyDescent="0.25">
      <c r="A583" s="25">
        <v>128</v>
      </c>
      <c r="B583" s="34" t="s">
        <v>1223</v>
      </c>
      <c r="C583" s="75">
        <f t="shared" si="97"/>
        <v>25367756.629999995</v>
      </c>
      <c r="D583" s="75">
        <f t="shared" si="98"/>
        <v>24150178.799999997</v>
      </c>
      <c r="E583" s="87">
        <v>10866517.199999999</v>
      </c>
      <c r="F583" s="75">
        <v>13283661.6</v>
      </c>
      <c r="G583" s="75">
        <v>0</v>
      </c>
      <c r="H583" s="87">
        <v>0</v>
      </c>
      <c r="I583" s="75">
        <v>0</v>
      </c>
      <c r="J583" s="152">
        <v>0</v>
      </c>
      <c r="K583" s="75">
        <v>0</v>
      </c>
      <c r="L583" s="75">
        <v>0</v>
      </c>
      <c r="M583" s="75">
        <v>0</v>
      </c>
      <c r="N583" s="87">
        <v>0</v>
      </c>
      <c r="O583" s="75">
        <v>0</v>
      </c>
      <c r="P583" s="87">
        <f>350382+350382</f>
        <v>700764</v>
      </c>
      <c r="Q583" s="75">
        <v>0</v>
      </c>
      <c r="R583" s="75">
        <f>284270.36+232543.47</f>
        <v>516813.82999999996</v>
      </c>
      <c r="S583" s="75">
        <v>0</v>
      </c>
      <c r="T583" s="75">
        <v>0</v>
      </c>
      <c r="U583" s="238"/>
      <c r="V583" s="238"/>
    </row>
    <row r="584" spans="1:39" s="44" customFormat="1" ht="24.75" customHeight="1" x14ac:dyDescent="0.25">
      <c r="A584" s="25">
        <v>129</v>
      </c>
      <c r="B584" s="34" t="s">
        <v>249</v>
      </c>
      <c r="C584" s="75">
        <f t="shared" ref="C584:C626" si="99">D584+K584+L584+M584+N584+O584+P584+Q584+R584+S584+T584</f>
        <v>13119684.439999999</v>
      </c>
      <c r="D584" s="75">
        <f t="shared" ref="D584:D626" si="100">SUM(E584:I584)</f>
        <v>0</v>
      </c>
      <c r="E584" s="87">
        <v>0</v>
      </c>
      <c r="F584" s="75">
        <v>0</v>
      </c>
      <c r="G584" s="75">
        <v>0</v>
      </c>
      <c r="H584" s="87">
        <v>0</v>
      </c>
      <c r="I584" s="75">
        <v>0</v>
      </c>
      <c r="J584" s="152">
        <v>0</v>
      </c>
      <c r="K584" s="75">
        <v>0</v>
      </c>
      <c r="L584" s="75">
        <v>0</v>
      </c>
      <c r="M584" s="75">
        <v>0</v>
      </c>
      <c r="N584" s="87">
        <v>12844805.6</v>
      </c>
      <c r="O584" s="75">
        <v>0</v>
      </c>
      <c r="P584" s="87">
        <v>0</v>
      </c>
      <c r="Q584" s="75">
        <v>0</v>
      </c>
      <c r="R584" s="75">
        <v>274878.84000000003</v>
      </c>
      <c r="S584" s="75">
        <v>0</v>
      </c>
      <c r="T584" s="75">
        <v>0</v>
      </c>
      <c r="U584" s="238"/>
      <c r="V584" s="238"/>
    </row>
    <row r="585" spans="1:39" s="44" customFormat="1" ht="24.75" customHeight="1" x14ac:dyDescent="0.25">
      <c r="A585" s="25">
        <v>130</v>
      </c>
      <c r="B585" s="34" t="s">
        <v>253</v>
      </c>
      <c r="C585" s="75">
        <f t="shared" si="99"/>
        <v>8575163.8000000007</v>
      </c>
      <c r="D585" s="75">
        <f t="shared" si="100"/>
        <v>0</v>
      </c>
      <c r="E585" s="87">
        <v>0</v>
      </c>
      <c r="F585" s="75">
        <v>0</v>
      </c>
      <c r="G585" s="75">
        <v>0</v>
      </c>
      <c r="H585" s="87">
        <v>0</v>
      </c>
      <c r="I585" s="75">
        <v>0</v>
      </c>
      <c r="J585" s="152">
        <v>0</v>
      </c>
      <c r="K585" s="75">
        <v>0</v>
      </c>
      <c r="L585" s="87">
        <v>0</v>
      </c>
      <c r="M585" s="75">
        <v>0</v>
      </c>
      <c r="N585" s="87">
        <v>8575163.8000000007</v>
      </c>
      <c r="O585" s="75">
        <v>0</v>
      </c>
      <c r="P585" s="75">
        <v>0</v>
      </c>
      <c r="Q585" s="75">
        <v>0</v>
      </c>
      <c r="R585" s="75">
        <v>0</v>
      </c>
      <c r="S585" s="75">
        <v>0</v>
      </c>
      <c r="T585" s="75">
        <v>0</v>
      </c>
      <c r="U585" s="239"/>
      <c r="V585" s="239"/>
    </row>
    <row r="586" spans="1:39" s="40" customFormat="1" ht="22.5" customHeight="1" x14ac:dyDescent="0.25">
      <c r="A586" s="25">
        <v>131</v>
      </c>
      <c r="B586" s="34" t="s">
        <v>255</v>
      </c>
      <c r="C586" s="75">
        <f t="shared" si="99"/>
        <v>14643675.439999999</v>
      </c>
      <c r="D586" s="75">
        <f t="shared" si="100"/>
        <v>0</v>
      </c>
      <c r="E586" s="87">
        <v>0</v>
      </c>
      <c r="F586" s="75">
        <v>0</v>
      </c>
      <c r="G586" s="75">
        <v>0</v>
      </c>
      <c r="H586" s="87">
        <v>0</v>
      </c>
      <c r="I586" s="87">
        <v>0</v>
      </c>
      <c r="J586" s="152">
        <v>0</v>
      </c>
      <c r="K586" s="75">
        <v>0</v>
      </c>
      <c r="L586" s="87">
        <v>14336866.5</v>
      </c>
      <c r="M586" s="75">
        <v>0</v>
      </c>
      <c r="N586" s="87">
        <v>0</v>
      </c>
      <c r="O586" s="75">
        <v>0</v>
      </c>
      <c r="P586" s="87">
        <v>0</v>
      </c>
      <c r="Q586" s="75">
        <v>0</v>
      </c>
      <c r="R586" s="75">
        <v>306808.94</v>
      </c>
      <c r="S586" s="75">
        <v>0</v>
      </c>
      <c r="T586" s="75">
        <v>0</v>
      </c>
      <c r="U586" s="238"/>
      <c r="V586" s="238"/>
    </row>
    <row r="587" spans="1:39" s="40" customFormat="1" ht="22.5" customHeight="1" x14ac:dyDescent="0.25">
      <c r="A587" s="25">
        <v>132</v>
      </c>
      <c r="B587" s="34" t="s">
        <v>256</v>
      </c>
      <c r="C587" s="75">
        <f t="shared" si="99"/>
        <v>8311834.1399999997</v>
      </c>
      <c r="D587" s="75">
        <f t="shared" si="100"/>
        <v>0</v>
      </c>
      <c r="E587" s="87">
        <v>0</v>
      </c>
      <c r="F587" s="75">
        <v>0</v>
      </c>
      <c r="G587" s="75">
        <v>0</v>
      </c>
      <c r="H587" s="87">
        <v>0</v>
      </c>
      <c r="I587" s="75">
        <v>0</v>
      </c>
      <c r="J587" s="152">
        <v>0</v>
      </c>
      <c r="K587" s="75">
        <v>0</v>
      </c>
      <c r="L587" s="87">
        <v>8050242.0800000001</v>
      </c>
      <c r="M587" s="75">
        <v>0</v>
      </c>
      <c r="N587" s="75">
        <v>0</v>
      </c>
      <c r="O587" s="75">
        <v>0</v>
      </c>
      <c r="P587" s="75">
        <v>0</v>
      </c>
      <c r="Q587" s="75">
        <v>0</v>
      </c>
      <c r="R587" s="75">
        <v>261592.06</v>
      </c>
      <c r="S587" s="75">
        <v>0</v>
      </c>
      <c r="T587" s="75">
        <v>0</v>
      </c>
      <c r="U587" s="238"/>
      <c r="V587" s="238"/>
    </row>
    <row r="588" spans="1:39" s="40" customFormat="1" ht="22.5" customHeight="1" x14ac:dyDescent="0.25">
      <c r="A588" s="25">
        <v>133</v>
      </c>
      <c r="B588" s="34" t="s">
        <v>1224</v>
      </c>
      <c r="C588" s="75">
        <f t="shared" si="99"/>
        <v>3729108.69</v>
      </c>
      <c r="D588" s="75">
        <f t="shared" si="100"/>
        <v>3130920</v>
      </c>
      <c r="E588" s="87">
        <v>0</v>
      </c>
      <c r="F588" s="87">
        <v>1631448</v>
      </c>
      <c r="G588" s="87">
        <v>523972.80000000005</v>
      </c>
      <c r="H588" s="87">
        <v>328536</v>
      </c>
      <c r="I588" s="87">
        <v>646963.20000000007</v>
      </c>
      <c r="J588" s="152">
        <v>0</v>
      </c>
      <c r="K588" s="75">
        <v>0</v>
      </c>
      <c r="L588" s="75">
        <v>0</v>
      </c>
      <c r="M588" s="75">
        <v>0</v>
      </c>
      <c r="N588" s="75">
        <v>0</v>
      </c>
      <c r="O588" s="75">
        <v>0</v>
      </c>
      <c r="P588" s="87">
        <f>265594+265594</f>
        <v>531188</v>
      </c>
      <c r="Q588" s="75">
        <v>0</v>
      </c>
      <c r="R588" s="75">
        <f>13845.01+11212.02+7030.67+34912.99</f>
        <v>67000.69</v>
      </c>
      <c r="S588" s="75">
        <v>0</v>
      </c>
      <c r="T588" s="75">
        <v>0</v>
      </c>
      <c r="U588" s="238"/>
      <c r="V588" s="238"/>
    </row>
    <row r="589" spans="1:39" s="40" customFormat="1" ht="22.5" customHeight="1" x14ac:dyDescent="0.25">
      <c r="A589" s="25">
        <v>134</v>
      </c>
      <c r="B589" s="39" t="s">
        <v>260</v>
      </c>
      <c r="C589" s="75">
        <f t="shared" si="99"/>
        <v>15385557.889999999</v>
      </c>
      <c r="D589" s="75">
        <f t="shared" si="100"/>
        <v>0</v>
      </c>
      <c r="E589" s="87">
        <v>0</v>
      </c>
      <c r="F589" s="75">
        <v>0</v>
      </c>
      <c r="G589" s="75">
        <v>0</v>
      </c>
      <c r="H589" s="87">
        <v>0</v>
      </c>
      <c r="I589" s="75">
        <v>0</v>
      </c>
      <c r="J589" s="152">
        <v>0</v>
      </c>
      <c r="K589" s="75">
        <v>0</v>
      </c>
      <c r="L589" s="87">
        <v>15063205.299999999</v>
      </c>
      <c r="M589" s="75">
        <v>0</v>
      </c>
      <c r="N589" s="75">
        <v>0</v>
      </c>
      <c r="O589" s="75">
        <v>0</v>
      </c>
      <c r="P589" s="87">
        <v>0</v>
      </c>
      <c r="Q589" s="75">
        <v>0</v>
      </c>
      <c r="R589" s="75">
        <v>322352.59000000003</v>
      </c>
      <c r="S589" s="75">
        <v>0</v>
      </c>
      <c r="T589" s="75">
        <v>0</v>
      </c>
      <c r="U589" s="238"/>
      <c r="V589" s="238"/>
    </row>
    <row r="590" spans="1:39" s="40" customFormat="1" ht="22.5" customHeight="1" x14ac:dyDescent="0.25">
      <c r="A590" s="25">
        <v>135</v>
      </c>
      <c r="B590" s="39" t="s">
        <v>262</v>
      </c>
      <c r="C590" s="75">
        <f t="shared" si="99"/>
        <v>16048707.51</v>
      </c>
      <c r="D590" s="75">
        <f t="shared" si="100"/>
        <v>0</v>
      </c>
      <c r="E590" s="87">
        <v>0</v>
      </c>
      <c r="F590" s="75">
        <v>0</v>
      </c>
      <c r="G590" s="75">
        <v>0</v>
      </c>
      <c r="H590" s="87">
        <v>0</v>
      </c>
      <c r="I590" s="75">
        <v>0</v>
      </c>
      <c r="J590" s="152">
        <v>0</v>
      </c>
      <c r="K590" s="75">
        <v>0</v>
      </c>
      <c r="L590" s="87">
        <v>0</v>
      </c>
      <c r="M590" s="75">
        <v>0</v>
      </c>
      <c r="N590" s="75">
        <v>0</v>
      </c>
      <c r="O590" s="75">
        <v>0</v>
      </c>
      <c r="P590" s="87">
        <v>0</v>
      </c>
      <c r="Q590" s="75">
        <v>0</v>
      </c>
      <c r="R590" s="75">
        <v>336246.66</v>
      </c>
      <c r="S590" s="75">
        <v>15712460.85</v>
      </c>
      <c r="T590" s="75">
        <v>0</v>
      </c>
      <c r="U590" s="238"/>
      <c r="V590" s="238"/>
    </row>
    <row r="591" spans="1:39" s="23" customFormat="1" ht="22.15" customHeight="1" x14ac:dyDescent="0.25">
      <c r="A591" s="25">
        <v>136</v>
      </c>
      <c r="B591" s="34" t="s">
        <v>267</v>
      </c>
      <c r="C591" s="75">
        <f t="shared" si="99"/>
        <v>19654123.420000002</v>
      </c>
      <c r="D591" s="75">
        <f t="shared" si="100"/>
        <v>0</v>
      </c>
      <c r="E591" s="87">
        <v>0</v>
      </c>
      <c r="F591" s="75">
        <v>0</v>
      </c>
      <c r="G591" s="75">
        <v>0</v>
      </c>
      <c r="H591" s="87">
        <v>0</v>
      </c>
      <c r="I591" s="75">
        <v>0</v>
      </c>
      <c r="J591" s="152">
        <v>0</v>
      </c>
      <c r="K591" s="75">
        <v>0</v>
      </c>
      <c r="L591" s="75">
        <v>0</v>
      </c>
      <c r="M591" s="75">
        <v>0</v>
      </c>
      <c r="N591" s="87">
        <v>19242337.400000002</v>
      </c>
      <c r="O591" s="75">
        <v>0</v>
      </c>
      <c r="P591" s="87">
        <v>0</v>
      </c>
      <c r="Q591" s="75">
        <v>0</v>
      </c>
      <c r="R591" s="75">
        <v>411786.02</v>
      </c>
      <c r="S591" s="75">
        <v>0</v>
      </c>
      <c r="T591" s="75">
        <v>0</v>
      </c>
      <c r="U591" s="238"/>
      <c r="V591" s="238"/>
    </row>
    <row r="592" spans="1:39" s="44" customFormat="1" ht="22.15" customHeight="1" x14ac:dyDescent="0.25">
      <c r="A592" s="25">
        <v>137</v>
      </c>
      <c r="B592" s="34" t="s">
        <v>271</v>
      </c>
      <c r="C592" s="75">
        <f t="shared" si="99"/>
        <v>6512253.1500000004</v>
      </c>
      <c r="D592" s="75">
        <f t="shared" si="100"/>
        <v>6512253.1500000004</v>
      </c>
      <c r="E592" s="87">
        <v>0</v>
      </c>
      <c r="F592" s="87">
        <v>6512253.1500000004</v>
      </c>
      <c r="G592" s="75">
        <v>0</v>
      </c>
      <c r="H592" s="87">
        <v>0</v>
      </c>
      <c r="I592" s="75">
        <v>0</v>
      </c>
      <c r="J592" s="152">
        <v>0</v>
      </c>
      <c r="K592" s="75">
        <v>0</v>
      </c>
      <c r="L592" s="75">
        <v>0</v>
      </c>
      <c r="M592" s="75">
        <v>0</v>
      </c>
      <c r="N592" s="87">
        <v>0</v>
      </c>
      <c r="O592" s="75">
        <v>0</v>
      </c>
      <c r="P592" s="87">
        <v>0</v>
      </c>
      <c r="Q592" s="75">
        <v>0</v>
      </c>
      <c r="R592" s="75">
        <v>0</v>
      </c>
      <c r="S592" s="75">
        <v>0</v>
      </c>
      <c r="T592" s="75">
        <v>0</v>
      </c>
      <c r="U592" s="238"/>
      <c r="V592" s="238"/>
    </row>
    <row r="593" spans="1:22" s="44" customFormat="1" ht="22.15" customHeight="1" x14ac:dyDescent="0.25">
      <c r="A593" s="25">
        <v>138</v>
      </c>
      <c r="B593" s="34" t="s">
        <v>1225</v>
      </c>
      <c r="C593" s="75">
        <f t="shared" si="99"/>
        <v>38192079.560000002</v>
      </c>
      <c r="D593" s="75">
        <f t="shared" si="100"/>
        <v>8353623.5999999996</v>
      </c>
      <c r="E593" s="87">
        <v>8353623.5999999996</v>
      </c>
      <c r="F593" s="87">
        <v>0</v>
      </c>
      <c r="G593" s="75">
        <v>0</v>
      </c>
      <c r="H593" s="87">
        <v>0</v>
      </c>
      <c r="I593" s="75">
        <v>0</v>
      </c>
      <c r="J593" s="152">
        <v>0</v>
      </c>
      <c r="K593" s="75">
        <v>0</v>
      </c>
      <c r="L593" s="75">
        <v>28352187.600000001</v>
      </c>
      <c r="M593" s="75">
        <v>0</v>
      </c>
      <c r="N593" s="87">
        <v>0</v>
      </c>
      <c r="O593" s="75">
        <v>0</v>
      </c>
      <c r="P593" s="87">
        <f>350382+350382</f>
        <v>700764</v>
      </c>
      <c r="Q593" s="75">
        <v>0</v>
      </c>
      <c r="R593" s="75">
        <f>606736.81+178767.55</f>
        <v>785504.3600000001</v>
      </c>
      <c r="S593" s="75">
        <v>0</v>
      </c>
      <c r="T593" s="75">
        <v>0</v>
      </c>
      <c r="U593" s="238"/>
      <c r="V593" s="238"/>
    </row>
    <row r="594" spans="1:22" s="44" customFormat="1" ht="22.15" customHeight="1" x14ac:dyDescent="0.25">
      <c r="A594" s="25">
        <v>139</v>
      </c>
      <c r="B594" s="34" t="s">
        <v>1226</v>
      </c>
      <c r="C594" s="75">
        <f t="shared" si="99"/>
        <v>36611545.720000006</v>
      </c>
      <c r="D594" s="75">
        <f t="shared" si="100"/>
        <v>0</v>
      </c>
      <c r="E594" s="87">
        <v>0</v>
      </c>
      <c r="F594" s="87">
        <v>0</v>
      </c>
      <c r="G594" s="75">
        <v>0</v>
      </c>
      <c r="H594" s="87">
        <v>0</v>
      </c>
      <c r="I594" s="75">
        <v>0</v>
      </c>
      <c r="J594" s="152">
        <v>0</v>
      </c>
      <c r="K594" s="75">
        <v>0</v>
      </c>
      <c r="L594" s="75">
        <v>34815351.200000003</v>
      </c>
      <c r="M594" s="75">
        <v>0</v>
      </c>
      <c r="N594" s="87">
        <v>0</v>
      </c>
      <c r="O594" s="75">
        <v>0</v>
      </c>
      <c r="P594" s="87">
        <f>350382+350382+350382</f>
        <v>1051146</v>
      </c>
      <c r="Q594" s="75">
        <v>0</v>
      </c>
      <c r="R594" s="75">
        <v>745048.52</v>
      </c>
      <c r="S594" s="75">
        <v>0</v>
      </c>
      <c r="T594" s="75">
        <v>0</v>
      </c>
      <c r="U594" s="238"/>
      <c r="V594" s="238"/>
    </row>
    <row r="595" spans="1:22" s="44" customFormat="1" ht="22.15" customHeight="1" x14ac:dyDescent="0.25">
      <c r="A595" s="25">
        <v>140</v>
      </c>
      <c r="B595" s="34" t="s">
        <v>274</v>
      </c>
      <c r="C595" s="75">
        <f t="shared" si="99"/>
        <v>11028620.4</v>
      </c>
      <c r="D595" s="75">
        <f t="shared" si="100"/>
        <v>0</v>
      </c>
      <c r="E595" s="87">
        <v>0</v>
      </c>
      <c r="F595" s="75">
        <v>0</v>
      </c>
      <c r="G595" s="87">
        <v>0</v>
      </c>
      <c r="H595" s="87">
        <v>0</v>
      </c>
      <c r="I595" s="75">
        <v>0</v>
      </c>
      <c r="J595" s="152">
        <v>0</v>
      </c>
      <c r="K595" s="75">
        <v>0</v>
      </c>
      <c r="L595" s="75">
        <v>0</v>
      </c>
      <c r="M595" s="75">
        <v>0</v>
      </c>
      <c r="N595" s="75">
        <v>11028620.4</v>
      </c>
      <c r="O595" s="75">
        <v>0</v>
      </c>
      <c r="P595" s="75">
        <v>0</v>
      </c>
      <c r="Q595" s="75">
        <v>0</v>
      </c>
      <c r="R595" s="75">
        <v>0</v>
      </c>
      <c r="S595" s="75">
        <v>0</v>
      </c>
      <c r="T595" s="75">
        <v>0</v>
      </c>
      <c r="U595" s="238"/>
      <c r="V595" s="238"/>
    </row>
    <row r="596" spans="1:22" s="186" customFormat="1" ht="22.15" customHeight="1" x14ac:dyDescent="0.25">
      <c r="A596" s="25">
        <v>141</v>
      </c>
      <c r="B596" s="34" t="s">
        <v>275</v>
      </c>
      <c r="C596" s="75">
        <f t="shared" si="99"/>
        <v>5352624.2300000004</v>
      </c>
      <c r="D596" s="75">
        <f t="shared" si="100"/>
        <v>0</v>
      </c>
      <c r="E596" s="87">
        <v>0</v>
      </c>
      <c r="F596" s="75">
        <v>0</v>
      </c>
      <c r="G596" s="75">
        <v>0</v>
      </c>
      <c r="H596" s="87">
        <v>0</v>
      </c>
      <c r="I596" s="75">
        <v>0</v>
      </c>
      <c r="J596" s="152">
        <v>0</v>
      </c>
      <c r="K596" s="75">
        <v>0</v>
      </c>
      <c r="L596" s="87">
        <v>5240478</v>
      </c>
      <c r="M596" s="75">
        <v>0</v>
      </c>
      <c r="N596" s="75">
        <v>0</v>
      </c>
      <c r="O596" s="75">
        <v>0</v>
      </c>
      <c r="P596" s="87">
        <v>0</v>
      </c>
      <c r="Q596" s="75">
        <v>0</v>
      </c>
      <c r="R596" s="75">
        <v>112146.23</v>
      </c>
      <c r="S596" s="75">
        <v>0</v>
      </c>
      <c r="T596" s="75">
        <v>0</v>
      </c>
      <c r="U596" s="238"/>
      <c r="V596" s="238"/>
    </row>
    <row r="597" spans="1:22" s="186" customFormat="1" ht="22.5" customHeight="1" x14ac:dyDescent="0.25">
      <c r="A597" s="25">
        <v>142</v>
      </c>
      <c r="B597" s="34" t="s">
        <v>1227</v>
      </c>
      <c r="C597" s="75">
        <f t="shared" si="99"/>
        <v>1007730.5399999999</v>
      </c>
      <c r="D597" s="75">
        <f t="shared" si="100"/>
        <v>466558.2</v>
      </c>
      <c r="E597" s="87">
        <v>0</v>
      </c>
      <c r="F597" s="87">
        <v>0</v>
      </c>
      <c r="G597" s="75">
        <v>0</v>
      </c>
      <c r="H597" s="87">
        <v>157131</v>
      </c>
      <c r="I597" s="87">
        <v>309427.20000000001</v>
      </c>
      <c r="J597" s="152">
        <v>0</v>
      </c>
      <c r="K597" s="75">
        <v>0</v>
      </c>
      <c r="L597" s="75">
        <v>0</v>
      </c>
      <c r="M597" s="75">
        <v>0</v>
      </c>
      <c r="N597" s="75">
        <v>0</v>
      </c>
      <c r="O597" s="75">
        <v>0</v>
      </c>
      <c r="P597" s="87">
        <f>265594+265594</f>
        <v>531188</v>
      </c>
      <c r="Q597" s="75">
        <v>0</v>
      </c>
      <c r="R597" s="75">
        <f>6621.74+3362.6</f>
        <v>9984.34</v>
      </c>
      <c r="S597" s="75">
        <v>0</v>
      </c>
      <c r="T597" s="75">
        <v>0</v>
      </c>
      <c r="U597" s="238"/>
      <c r="V597" s="238"/>
    </row>
    <row r="598" spans="1:22" s="186" customFormat="1" ht="22.5" customHeight="1" x14ac:dyDescent="0.25">
      <c r="A598" s="25">
        <v>143</v>
      </c>
      <c r="B598" s="34" t="s">
        <v>277</v>
      </c>
      <c r="C598" s="75">
        <f t="shared" si="99"/>
        <v>8053367.71</v>
      </c>
      <c r="D598" s="75">
        <f t="shared" si="100"/>
        <v>8053367.71</v>
      </c>
      <c r="E598" s="87">
        <v>0</v>
      </c>
      <c r="F598" s="87">
        <v>8053367.71</v>
      </c>
      <c r="G598" s="75">
        <v>0</v>
      </c>
      <c r="H598" s="87">
        <v>0</v>
      </c>
      <c r="I598" s="75">
        <v>0</v>
      </c>
      <c r="J598" s="152">
        <v>0</v>
      </c>
      <c r="K598" s="75">
        <v>0</v>
      </c>
      <c r="L598" s="75">
        <v>0</v>
      </c>
      <c r="M598" s="75">
        <v>0</v>
      </c>
      <c r="N598" s="75">
        <v>0</v>
      </c>
      <c r="O598" s="75">
        <v>0</v>
      </c>
      <c r="P598" s="87">
        <v>0</v>
      </c>
      <c r="Q598" s="75">
        <v>0</v>
      </c>
      <c r="R598" s="75">
        <v>0</v>
      </c>
      <c r="S598" s="75">
        <v>0</v>
      </c>
      <c r="T598" s="75">
        <v>0</v>
      </c>
      <c r="U598" s="238"/>
      <c r="V598" s="238"/>
    </row>
    <row r="599" spans="1:22" s="186" customFormat="1" ht="22.5" customHeight="1" x14ac:dyDescent="0.25">
      <c r="A599" s="25">
        <v>144</v>
      </c>
      <c r="B599" s="34" t="s">
        <v>1228</v>
      </c>
      <c r="C599" s="75">
        <f t="shared" si="99"/>
        <v>16715728.210000001</v>
      </c>
      <c r="D599" s="75">
        <f t="shared" si="100"/>
        <v>0</v>
      </c>
      <c r="E599" s="87">
        <v>0</v>
      </c>
      <c r="F599" s="87">
        <v>0</v>
      </c>
      <c r="G599" s="75">
        <v>0</v>
      </c>
      <c r="H599" s="87">
        <v>0</v>
      </c>
      <c r="I599" s="75">
        <v>0</v>
      </c>
      <c r="J599" s="152">
        <v>3</v>
      </c>
      <c r="K599" s="75">
        <v>15788421</v>
      </c>
      <c r="L599" s="75">
        <v>0</v>
      </c>
      <c r="M599" s="75">
        <v>0</v>
      </c>
      <c r="N599" s="75">
        <v>0</v>
      </c>
      <c r="O599" s="75">
        <v>0</v>
      </c>
      <c r="P599" s="87">
        <v>589435</v>
      </c>
      <c r="Q599" s="75">
        <v>0</v>
      </c>
      <c r="R599" s="75">
        <f>112624.07*3</f>
        <v>337872.21</v>
      </c>
      <c r="S599" s="75">
        <v>0</v>
      </c>
      <c r="T599" s="75">
        <v>0</v>
      </c>
      <c r="U599" s="238"/>
      <c r="V599" s="238"/>
    </row>
    <row r="600" spans="1:22" s="186" customFormat="1" ht="22.5" customHeight="1" x14ac:dyDescent="0.25">
      <c r="A600" s="25">
        <v>145</v>
      </c>
      <c r="B600" s="34" t="s">
        <v>1229</v>
      </c>
      <c r="C600" s="75">
        <f t="shared" si="99"/>
        <v>5964866.0700000003</v>
      </c>
      <c r="D600" s="75">
        <f t="shared" si="100"/>
        <v>0</v>
      </c>
      <c r="E600" s="87">
        <v>0</v>
      </c>
      <c r="F600" s="87">
        <v>0</v>
      </c>
      <c r="G600" s="75">
        <v>0</v>
      </c>
      <c r="H600" s="87">
        <v>0</v>
      </c>
      <c r="I600" s="75">
        <v>0</v>
      </c>
      <c r="J600" s="152">
        <v>1</v>
      </c>
      <c r="K600" s="75">
        <v>5262807</v>
      </c>
      <c r="L600" s="75">
        <v>0</v>
      </c>
      <c r="M600" s="75">
        <v>0</v>
      </c>
      <c r="N600" s="75">
        <v>0</v>
      </c>
      <c r="O600" s="75">
        <v>0</v>
      </c>
      <c r="P600" s="87">
        <v>589435</v>
      </c>
      <c r="Q600" s="75">
        <v>0</v>
      </c>
      <c r="R600" s="75">
        <v>112624.07</v>
      </c>
      <c r="S600" s="75">
        <v>0</v>
      </c>
      <c r="T600" s="75">
        <v>0</v>
      </c>
      <c r="U600" s="238"/>
      <c r="V600" s="238"/>
    </row>
    <row r="601" spans="1:22" s="44" customFormat="1" ht="24.6" customHeight="1" x14ac:dyDescent="0.25">
      <c r="A601" s="25">
        <v>146</v>
      </c>
      <c r="B601" s="34" t="s">
        <v>279</v>
      </c>
      <c r="C601" s="75">
        <f t="shared" si="99"/>
        <v>142389394.52000001</v>
      </c>
      <c r="D601" s="75">
        <f t="shared" si="100"/>
        <v>0</v>
      </c>
      <c r="E601" s="87">
        <v>0</v>
      </c>
      <c r="F601" s="75">
        <v>0</v>
      </c>
      <c r="G601" s="75">
        <v>0</v>
      </c>
      <c r="H601" s="87">
        <v>0</v>
      </c>
      <c r="I601" s="75">
        <v>0</v>
      </c>
      <c r="J601" s="152">
        <v>0</v>
      </c>
      <c r="K601" s="87">
        <v>0</v>
      </c>
      <c r="L601" s="75">
        <v>0</v>
      </c>
      <c r="M601" s="75">
        <v>0</v>
      </c>
      <c r="N601" s="75">
        <v>0</v>
      </c>
      <c r="O601" s="75">
        <v>0</v>
      </c>
      <c r="P601" s="75">
        <v>0</v>
      </c>
      <c r="Q601" s="75">
        <v>0</v>
      </c>
      <c r="R601" s="75">
        <v>2983290.62</v>
      </c>
      <c r="S601" s="75">
        <v>139406103.90000001</v>
      </c>
      <c r="T601" s="75">
        <v>0</v>
      </c>
      <c r="U601" s="238"/>
      <c r="V601" s="238"/>
    </row>
    <row r="602" spans="1:22" s="44" customFormat="1" ht="24.6" customHeight="1" x14ac:dyDescent="0.25">
      <c r="A602" s="25">
        <v>147</v>
      </c>
      <c r="B602" s="34" t="s">
        <v>280</v>
      </c>
      <c r="C602" s="75">
        <f t="shared" si="99"/>
        <v>3649798.7</v>
      </c>
      <c r="D602" s="75">
        <f t="shared" si="100"/>
        <v>3649798.7</v>
      </c>
      <c r="E602" s="87">
        <v>0</v>
      </c>
      <c r="F602" s="87">
        <v>3649798.7</v>
      </c>
      <c r="G602" s="87">
        <v>0</v>
      </c>
      <c r="H602" s="87">
        <v>0</v>
      </c>
      <c r="I602" s="87">
        <v>0</v>
      </c>
      <c r="J602" s="152">
        <v>0</v>
      </c>
      <c r="K602" s="75">
        <v>0</v>
      </c>
      <c r="L602" s="75">
        <v>0</v>
      </c>
      <c r="M602" s="75">
        <v>0</v>
      </c>
      <c r="N602" s="75">
        <v>0</v>
      </c>
      <c r="O602" s="75">
        <v>0</v>
      </c>
      <c r="P602" s="87">
        <v>0</v>
      </c>
      <c r="Q602" s="75">
        <v>0</v>
      </c>
      <c r="R602" s="75">
        <v>0</v>
      </c>
      <c r="S602" s="75">
        <v>0</v>
      </c>
      <c r="T602" s="261">
        <v>0</v>
      </c>
      <c r="U602" s="238"/>
      <c r="V602" s="238"/>
    </row>
    <row r="603" spans="1:22" s="44" customFormat="1" ht="24.6" customHeight="1" x14ac:dyDescent="0.25">
      <c r="A603" s="25">
        <v>148</v>
      </c>
      <c r="B603" s="34" t="s">
        <v>1230</v>
      </c>
      <c r="C603" s="75">
        <f t="shared" si="99"/>
        <v>16382330.870000001</v>
      </c>
      <c r="D603" s="75">
        <f t="shared" si="100"/>
        <v>0</v>
      </c>
      <c r="E603" s="87">
        <v>0</v>
      </c>
      <c r="F603" s="87">
        <v>0</v>
      </c>
      <c r="G603" s="87">
        <v>0</v>
      </c>
      <c r="H603" s="87">
        <v>0</v>
      </c>
      <c r="I603" s="87">
        <v>0</v>
      </c>
      <c r="J603" s="152">
        <v>0</v>
      </c>
      <c r="K603" s="75">
        <v>0</v>
      </c>
      <c r="L603" s="75">
        <v>15353012.4</v>
      </c>
      <c r="M603" s="75">
        <v>0</v>
      </c>
      <c r="N603" s="75">
        <v>0</v>
      </c>
      <c r="O603" s="75">
        <v>0</v>
      </c>
      <c r="P603" s="87">
        <f>350382+350382</f>
        <v>700764</v>
      </c>
      <c r="Q603" s="75">
        <v>0</v>
      </c>
      <c r="R603" s="75">
        <v>328554.46999999997</v>
      </c>
      <c r="S603" s="75">
        <v>0</v>
      </c>
      <c r="T603" s="261">
        <v>0</v>
      </c>
      <c r="U603" s="238"/>
      <c r="V603" s="238"/>
    </row>
    <row r="604" spans="1:22" s="44" customFormat="1" ht="24.6" customHeight="1" x14ac:dyDescent="0.25">
      <c r="A604" s="25">
        <v>149</v>
      </c>
      <c r="B604" s="34" t="s">
        <v>1231</v>
      </c>
      <c r="C604" s="75">
        <f t="shared" si="99"/>
        <v>8911648.7200000007</v>
      </c>
      <c r="D604" s="75">
        <f t="shared" si="100"/>
        <v>8249298.1200000001</v>
      </c>
      <c r="E604" s="87">
        <v>0</v>
      </c>
      <c r="F604" s="87">
        <v>6468661.5</v>
      </c>
      <c r="G604" s="87">
        <v>775786.9</v>
      </c>
      <c r="H604" s="87">
        <v>1004849.7200000001</v>
      </c>
      <c r="I604" s="87">
        <v>0</v>
      </c>
      <c r="J604" s="152">
        <v>0</v>
      </c>
      <c r="K604" s="75">
        <v>0</v>
      </c>
      <c r="L604" s="75">
        <v>0</v>
      </c>
      <c r="M604" s="75">
        <v>0</v>
      </c>
      <c r="N604" s="75">
        <v>0</v>
      </c>
      <c r="O604" s="75">
        <v>0</v>
      </c>
      <c r="P604" s="87">
        <v>350382</v>
      </c>
      <c r="Q604" s="75">
        <v>0</v>
      </c>
      <c r="R604" s="75">
        <f>85905.98+21503.78+204558.84</f>
        <v>311968.59999999998</v>
      </c>
      <c r="S604" s="75">
        <v>0</v>
      </c>
      <c r="T604" s="75">
        <v>0</v>
      </c>
      <c r="U604" s="238"/>
      <c r="V604" s="238"/>
    </row>
    <row r="605" spans="1:22" s="44" customFormat="1" ht="24.6" customHeight="1" x14ac:dyDescent="0.25">
      <c r="A605" s="25">
        <v>150</v>
      </c>
      <c r="B605" s="34" t="s">
        <v>1232</v>
      </c>
      <c r="C605" s="75">
        <f t="shared" si="99"/>
        <v>6284318.4000000004</v>
      </c>
      <c r="D605" s="75">
        <f t="shared" si="100"/>
        <v>5933936.4000000004</v>
      </c>
      <c r="E605" s="87">
        <v>5933936.4000000004</v>
      </c>
      <c r="F605" s="87">
        <v>0</v>
      </c>
      <c r="G605" s="87">
        <v>0</v>
      </c>
      <c r="H605" s="87">
        <v>0</v>
      </c>
      <c r="I605" s="87">
        <v>0</v>
      </c>
      <c r="J605" s="152">
        <v>0</v>
      </c>
      <c r="K605" s="75">
        <v>0</v>
      </c>
      <c r="L605" s="75">
        <v>0</v>
      </c>
      <c r="M605" s="75">
        <v>0</v>
      </c>
      <c r="N605" s="75">
        <v>0</v>
      </c>
      <c r="O605" s="75">
        <v>0</v>
      </c>
      <c r="P605" s="87">
        <v>350382</v>
      </c>
      <c r="Q605" s="75">
        <v>0</v>
      </c>
      <c r="R605" s="75">
        <v>0</v>
      </c>
      <c r="S605" s="75">
        <v>0</v>
      </c>
      <c r="T605" s="75">
        <v>0</v>
      </c>
      <c r="U605" s="238"/>
      <c r="V605" s="238"/>
    </row>
    <row r="606" spans="1:22" s="44" customFormat="1" ht="24.6" customHeight="1" x14ac:dyDescent="0.25">
      <c r="A606" s="25">
        <v>151</v>
      </c>
      <c r="B606" s="34" t="s">
        <v>1233</v>
      </c>
      <c r="C606" s="75">
        <f t="shared" si="99"/>
        <v>350382</v>
      </c>
      <c r="D606" s="75">
        <f t="shared" si="100"/>
        <v>0</v>
      </c>
      <c r="E606" s="87">
        <v>0</v>
      </c>
      <c r="F606" s="87">
        <v>0</v>
      </c>
      <c r="G606" s="87">
        <v>0</v>
      </c>
      <c r="H606" s="87">
        <v>0</v>
      </c>
      <c r="I606" s="87">
        <v>0</v>
      </c>
      <c r="J606" s="152">
        <v>0</v>
      </c>
      <c r="K606" s="75">
        <v>0</v>
      </c>
      <c r="L606" s="75">
        <v>0</v>
      </c>
      <c r="M606" s="75">
        <v>0</v>
      </c>
      <c r="N606" s="75">
        <v>0</v>
      </c>
      <c r="O606" s="75">
        <v>0</v>
      </c>
      <c r="P606" s="87">
        <v>350382</v>
      </c>
      <c r="Q606" s="75">
        <v>0</v>
      </c>
      <c r="R606" s="75">
        <v>0</v>
      </c>
      <c r="S606" s="75">
        <v>0</v>
      </c>
      <c r="T606" s="75">
        <v>0</v>
      </c>
      <c r="U606" s="238"/>
      <c r="V606" s="238"/>
    </row>
    <row r="607" spans="1:22" s="44" customFormat="1" ht="24.6" customHeight="1" x14ac:dyDescent="0.25">
      <c r="A607" s="25">
        <v>152</v>
      </c>
      <c r="B607" s="34" t="s">
        <v>284</v>
      </c>
      <c r="C607" s="75">
        <f t="shared" si="99"/>
        <v>19470694.279999997</v>
      </c>
      <c r="D607" s="75">
        <f t="shared" si="100"/>
        <v>0</v>
      </c>
      <c r="E607" s="87">
        <v>0</v>
      </c>
      <c r="F607" s="75">
        <v>0</v>
      </c>
      <c r="G607" s="75">
        <v>0</v>
      </c>
      <c r="H607" s="87">
        <v>0</v>
      </c>
      <c r="I607" s="75">
        <v>0</v>
      </c>
      <c r="J607" s="152">
        <v>0</v>
      </c>
      <c r="K607" s="75">
        <v>0</v>
      </c>
      <c r="L607" s="75">
        <v>19062751.399999999</v>
      </c>
      <c r="M607" s="75">
        <v>0</v>
      </c>
      <c r="N607" s="87">
        <v>0</v>
      </c>
      <c r="O607" s="75">
        <v>0</v>
      </c>
      <c r="P607" s="75">
        <v>0</v>
      </c>
      <c r="Q607" s="75">
        <v>0</v>
      </c>
      <c r="R607" s="75">
        <v>407942.88</v>
      </c>
      <c r="S607" s="75">
        <v>0</v>
      </c>
      <c r="T607" s="75">
        <v>0</v>
      </c>
      <c r="U607" s="238"/>
      <c r="V607" s="238"/>
    </row>
    <row r="608" spans="1:22" s="44" customFormat="1" ht="24.6" customHeight="1" x14ac:dyDescent="0.25">
      <c r="A608" s="25">
        <v>153</v>
      </c>
      <c r="B608" s="34" t="s">
        <v>1234</v>
      </c>
      <c r="C608" s="75">
        <f t="shared" si="99"/>
        <v>23984959.150000002</v>
      </c>
      <c r="D608" s="75">
        <f t="shared" si="100"/>
        <v>3551157.6000000006</v>
      </c>
      <c r="E608" s="87">
        <v>0</v>
      </c>
      <c r="F608" s="75">
        <v>0</v>
      </c>
      <c r="G608" s="87">
        <v>2840204.3000000003</v>
      </c>
      <c r="H608" s="87">
        <v>710953.3</v>
      </c>
      <c r="I608" s="75">
        <v>0</v>
      </c>
      <c r="J608" s="152">
        <v>0</v>
      </c>
      <c r="K608" s="75">
        <v>0</v>
      </c>
      <c r="L608" s="87">
        <v>18777106.699999999</v>
      </c>
      <c r="M608" s="75">
        <v>0</v>
      </c>
      <c r="N608" s="75">
        <v>0</v>
      </c>
      <c r="O608" s="75">
        <v>0</v>
      </c>
      <c r="P608" s="87">
        <f>589435+589435</f>
        <v>1178870</v>
      </c>
      <c r="Q608" s="75">
        <v>0</v>
      </c>
      <c r="R608" s="75">
        <f>401830.08+60780.37+15214.4</f>
        <v>477824.85000000003</v>
      </c>
      <c r="S608" s="75">
        <v>0</v>
      </c>
      <c r="T608" s="75">
        <v>0</v>
      </c>
      <c r="U608" s="238"/>
      <c r="V608" s="238"/>
    </row>
    <row r="609" spans="1:39" s="44" customFormat="1" ht="24.6" customHeight="1" x14ac:dyDescent="0.25">
      <c r="A609" s="25">
        <v>154</v>
      </c>
      <c r="B609" s="34" t="s">
        <v>1235</v>
      </c>
      <c r="C609" s="75">
        <f t="shared" si="99"/>
        <v>19347777.290000003</v>
      </c>
      <c r="D609" s="75">
        <f t="shared" si="100"/>
        <v>3916968.3</v>
      </c>
      <c r="E609" s="87">
        <v>3916968.3</v>
      </c>
      <c r="F609" s="75">
        <v>0</v>
      </c>
      <c r="G609" s="87">
        <v>0</v>
      </c>
      <c r="H609" s="87">
        <v>0</v>
      </c>
      <c r="I609" s="75">
        <v>0</v>
      </c>
      <c r="J609" s="152">
        <v>0</v>
      </c>
      <c r="K609" s="75">
        <v>0</v>
      </c>
      <c r="L609" s="87">
        <v>13294185.300000001</v>
      </c>
      <c r="M609" s="75">
        <v>0</v>
      </c>
      <c r="N609" s="75">
        <v>0</v>
      </c>
      <c r="O609" s="75">
        <v>0</v>
      </c>
      <c r="P609" s="87">
        <f>589435+589435+589435</f>
        <v>1768305</v>
      </c>
      <c r="Q609" s="75">
        <v>0</v>
      </c>
      <c r="R609" s="75">
        <f>284495.57+83823.12</f>
        <v>368318.69</v>
      </c>
      <c r="S609" s="75">
        <v>0</v>
      </c>
      <c r="T609" s="75">
        <v>0</v>
      </c>
      <c r="U609" s="238"/>
      <c r="V609" s="238"/>
    </row>
    <row r="610" spans="1:39" s="44" customFormat="1" ht="24.6" customHeight="1" x14ac:dyDescent="0.25">
      <c r="A610" s="25">
        <v>155</v>
      </c>
      <c r="B610" s="34" t="s">
        <v>1236</v>
      </c>
      <c r="C610" s="75">
        <f t="shared" si="99"/>
        <v>4739524.4699999988</v>
      </c>
      <c r="D610" s="75">
        <f t="shared" si="100"/>
        <v>469337.4</v>
      </c>
      <c r="E610" s="87">
        <v>469337.4</v>
      </c>
      <c r="F610" s="75">
        <v>0</v>
      </c>
      <c r="G610" s="87">
        <v>0</v>
      </c>
      <c r="H610" s="87">
        <v>0</v>
      </c>
      <c r="I610" s="75">
        <v>0</v>
      </c>
      <c r="J610" s="152">
        <v>0</v>
      </c>
      <c r="K610" s="75">
        <v>0</v>
      </c>
      <c r="L610" s="87">
        <v>3130768.8</v>
      </c>
      <c r="M610" s="75">
        <v>0</v>
      </c>
      <c r="N610" s="75">
        <v>0</v>
      </c>
      <c r="O610" s="75">
        <v>0</v>
      </c>
      <c r="P610" s="87">
        <f>265594+265594+265594+265594</f>
        <v>1062376</v>
      </c>
      <c r="Q610" s="75">
        <v>0</v>
      </c>
      <c r="R610" s="75">
        <f>66998.45+10043.82</f>
        <v>77042.26999999999</v>
      </c>
      <c r="S610" s="75">
        <v>0</v>
      </c>
      <c r="T610" s="75">
        <v>0</v>
      </c>
      <c r="U610" s="238"/>
      <c r="V610" s="238"/>
    </row>
    <row r="611" spans="1:39" s="44" customFormat="1" ht="24.6" customHeight="1" x14ac:dyDescent="0.25">
      <c r="A611" s="25">
        <v>156</v>
      </c>
      <c r="B611" s="34" t="s">
        <v>1237</v>
      </c>
      <c r="C611" s="75">
        <f t="shared" si="99"/>
        <v>10661627.030000001</v>
      </c>
      <c r="D611" s="75">
        <f t="shared" si="100"/>
        <v>0</v>
      </c>
      <c r="E611" s="87">
        <v>0</v>
      </c>
      <c r="F611" s="75">
        <v>0</v>
      </c>
      <c r="G611" s="87">
        <v>0</v>
      </c>
      <c r="H611" s="87">
        <v>0</v>
      </c>
      <c r="I611" s="75">
        <v>0</v>
      </c>
      <c r="J611" s="152">
        <v>0</v>
      </c>
      <c r="K611" s="75">
        <v>0</v>
      </c>
      <c r="L611" s="87">
        <v>9658160.4000000004</v>
      </c>
      <c r="M611" s="75">
        <v>0</v>
      </c>
      <c r="N611" s="75">
        <v>0</v>
      </c>
      <c r="O611" s="75">
        <v>0</v>
      </c>
      <c r="P611" s="87">
        <f>265594+265594+265594</f>
        <v>796782</v>
      </c>
      <c r="Q611" s="75">
        <v>0</v>
      </c>
      <c r="R611" s="75">
        <f>206684.63</f>
        <v>206684.63</v>
      </c>
      <c r="S611" s="75">
        <v>0</v>
      </c>
      <c r="T611" s="75">
        <v>0</v>
      </c>
      <c r="U611" s="238"/>
      <c r="V611" s="238"/>
    </row>
    <row r="612" spans="1:39" s="44" customFormat="1" ht="24.6" customHeight="1" x14ac:dyDescent="0.25">
      <c r="A612" s="25">
        <v>157</v>
      </c>
      <c r="B612" s="34" t="s">
        <v>288</v>
      </c>
      <c r="C612" s="75">
        <f t="shared" si="99"/>
        <v>7619386.1600000001</v>
      </c>
      <c r="D612" s="75">
        <f t="shared" si="100"/>
        <v>7619386.1600000001</v>
      </c>
      <c r="E612" s="87">
        <v>0</v>
      </c>
      <c r="F612" s="87">
        <v>5087301.63</v>
      </c>
      <c r="G612" s="87">
        <v>2532084.5299999998</v>
      </c>
      <c r="H612" s="87">
        <v>0</v>
      </c>
      <c r="I612" s="75">
        <v>0</v>
      </c>
      <c r="J612" s="152">
        <v>0</v>
      </c>
      <c r="K612" s="75">
        <v>0</v>
      </c>
      <c r="L612" s="87">
        <v>0</v>
      </c>
      <c r="M612" s="75">
        <v>0</v>
      </c>
      <c r="N612" s="75">
        <v>0</v>
      </c>
      <c r="O612" s="75">
        <v>0</v>
      </c>
      <c r="P612" s="87">
        <v>0</v>
      </c>
      <c r="Q612" s="75">
        <v>0</v>
      </c>
      <c r="R612" s="75">
        <v>0</v>
      </c>
      <c r="S612" s="75">
        <v>0</v>
      </c>
      <c r="T612" s="75">
        <v>0</v>
      </c>
      <c r="U612" s="238"/>
      <c r="V612" s="238"/>
    </row>
    <row r="613" spans="1:39" s="44" customFormat="1" ht="24.6" customHeight="1" x14ac:dyDescent="0.25">
      <c r="A613" s="25">
        <v>158</v>
      </c>
      <c r="B613" s="39" t="s">
        <v>1238</v>
      </c>
      <c r="C613" s="75">
        <f t="shared" si="99"/>
        <v>8689878.9399999995</v>
      </c>
      <c r="D613" s="75">
        <f t="shared" si="100"/>
        <v>0</v>
      </c>
      <c r="E613" s="87">
        <v>0</v>
      </c>
      <c r="F613" s="87">
        <v>0</v>
      </c>
      <c r="G613" s="87">
        <v>0</v>
      </c>
      <c r="H613" s="87">
        <v>0</v>
      </c>
      <c r="I613" s="87">
        <v>0</v>
      </c>
      <c r="J613" s="152">
        <v>0</v>
      </c>
      <c r="K613" s="75">
        <v>0</v>
      </c>
      <c r="L613" s="75">
        <v>8247782.4000000004</v>
      </c>
      <c r="M613" s="75">
        <v>0</v>
      </c>
      <c r="N613" s="75">
        <v>0</v>
      </c>
      <c r="O613" s="75">
        <v>0</v>
      </c>
      <c r="P613" s="87">
        <v>265594</v>
      </c>
      <c r="Q613" s="75">
        <v>0</v>
      </c>
      <c r="R613" s="75">
        <v>176502.54</v>
      </c>
      <c r="S613" s="75">
        <v>0</v>
      </c>
      <c r="T613" s="75">
        <v>0</v>
      </c>
      <c r="U613" s="238"/>
      <c r="V613" s="238"/>
    </row>
    <row r="614" spans="1:39" s="44" customFormat="1" ht="24.6" customHeight="1" x14ac:dyDescent="0.25">
      <c r="A614" s="25">
        <v>159</v>
      </c>
      <c r="B614" s="39" t="s">
        <v>1239</v>
      </c>
      <c r="C614" s="75">
        <f t="shared" si="99"/>
        <v>1000722.5700000001</v>
      </c>
      <c r="D614" s="75">
        <f t="shared" si="100"/>
        <v>459697.05</v>
      </c>
      <c r="E614" s="87">
        <v>0</v>
      </c>
      <c r="F614" s="87">
        <v>0</v>
      </c>
      <c r="G614" s="87">
        <v>0</v>
      </c>
      <c r="H614" s="87">
        <v>154820.25</v>
      </c>
      <c r="I614" s="87">
        <v>304876.79999999999</v>
      </c>
      <c r="J614" s="152">
        <v>0</v>
      </c>
      <c r="K614" s="75">
        <v>0</v>
      </c>
      <c r="L614" s="75">
        <v>0</v>
      </c>
      <c r="M614" s="75">
        <v>0</v>
      </c>
      <c r="N614" s="75">
        <v>0</v>
      </c>
      <c r="O614" s="75">
        <v>0</v>
      </c>
      <c r="P614" s="87">
        <f t="shared" ref="P614:P615" si="101">265594+265594</f>
        <v>531188</v>
      </c>
      <c r="Q614" s="75">
        <v>0</v>
      </c>
      <c r="R614" s="75">
        <v>9837.52</v>
      </c>
      <c r="S614" s="75">
        <v>0</v>
      </c>
      <c r="T614" s="75">
        <v>0</v>
      </c>
      <c r="U614" s="238"/>
      <c r="V614" s="238"/>
    </row>
    <row r="615" spans="1:39" s="44" customFormat="1" ht="24.6" customHeight="1" x14ac:dyDescent="0.25">
      <c r="A615" s="25">
        <v>160</v>
      </c>
      <c r="B615" s="34" t="s">
        <v>1240</v>
      </c>
      <c r="C615" s="75">
        <f t="shared" si="99"/>
        <v>1876305.8199999998</v>
      </c>
      <c r="D615" s="75">
        <f t="shared" si="100"/>
        <v>1316935.3999999999</v>
      </c>
      <c r="E615" s="87">
        <v>0</v>
      </c>
      <c r="F615" s="87">
        <v>824148.5</v>
      </c>
      <c r="G615" s="75">
        <v>0</v>
      </c>
      <c r="H615" s="87">
        <v>165964.5</v>
      </c>
      <c r="I615" s="87">
        <v>326822.39999999997</v>
      </c>
      <c r="J615" s="152">
        <v>0</v>
      </c>
      <c r="K615" s="75">
        <v>0</v>
      </c>
      <c r="L615" s="75">
        <v>0</v>
      </c>
      <c r="M615" s="75">
        <v>0</v>
      </c>
      <c r="N615" s="75">
        <v>0</v>
      </c>
      <c r="O615" s="75">
        <v>0</v>
      </c>
      <c r="P615" s="87">
        <f t="shared" si="101"/>
        <v>531188</v>
      </c>
      <c r="Q615" s="75">
        <v>0</v>
      </c>
      <c r="R615" s="75">
        <f>6994+3551.64+17636.78</f>
        <v>28182.42</v>
      </c>
      <c r="S615" s="75">
        <v>0</v>
      </c>
      <c r="T615" s="75">
        <v>0</v>
      </c>
      <c r="U615" s="238"/>
      <c r="V615" s="238"/>
      <c r="W615" s="40"/>
      <c r="X615" s="40"/>
      <c r="Y615" s="40"/>
      <c r="Z615" s="40"/>
      <c r="AA615" s="40"/>
      <c r="AB615" s="40"/>
      <c r="AC615" s="40"/>
      <c r="AD615" s="40"/>
      <c r="AE615" s="40"/>
      <c r="AF615" s="40"/>
      <c r="AG615" s="40"/>
      <c r="AH615" s="40"/>
      <c r="AI615" s="40"/>
    </row>
    <row r="616" spans="1:39" s="44" customFormat="1" ht="24.6" customHeight="1" x14ac:dyDescent="0.25">
      <c r="A616" s="25">
        <v>161</v>
      </c>
      <c r="B616" s="34" t="s">
        <v>292</v>
      </c>
      <c r="C616" s="75">
        <f t="shared" si="99"/>
        <v>7814923.4199999999</v>
      </c>
      <c r="D616" s="75">
        <f t="shared" si="100"/>
        <v>0</v>
      </c>
      <c r="E616" s="87">
        <v>0</v>
      </c>
      <c r="F616" s="75">
        <v>0</v>
      </c>
      <c r="G616" s="75">
        <v>0</v>
      </c>
      <c r="H616" s="87">
        <v>0</v>
      </c>
      <c r="I616" s="75">
        <v>0</v>
      </c>
      <c r="J616" s="152">
        <v>0</v>
      </c>
      <c r="K616" s="75">
        <v>0</v>
      </c>
      <c r="L616" s="87">
        <v>7651188</v>
      </c>
      <c r="M616" s="75">
        <v>0</v>
      </c>
      <c r="N616" s="75">
        <v>0</v>
      </c>
      <c r="O616" s="75">
        <v>0</v>
      </c>
      <c r="P616" s="87">
        <v>0</v>
      </c>
      <c r="Q616" s="75">
        <v>0</v>
      </c>
      <c r="R616" s="75">
        <v>163735.42000000001</v>
      </c>
      <c r="S616" s="75">
        <v>0</v>
      </c>
      <c r="T616" s="75">
        <v>0</v>
      </c>
      <c r="U616" s="238"/>
      <c r="V616" s="238"/>
    </row>
    <row r="617" spans="1:39" s="44" customFormat="1" ht="24.6" customHeight="1" x14ac:dyDescent="0.25">
      <c r="A617" s="25">
        <v>162</v>
      </c>
      <c r="B617" s="34" t="s">
        <v>1241</v>
      </c>
      <c r="C617" s="75">
        <f t="shared" si="99"/>
        <v>21741159.280000001</v>
      </c>
      <c r="D617" s="75">
        <f t="shared" si="100"/>
        <v>0</v>
      </c>
      <c r="E617" s="87">
        <v>0</v>
      </c>
      <c r="F617" s="75">
        <v>0</v>
      </c>
      <c r="G617" s="75">
        <v>0</v>
      </c>
      <c r="H617" s="87">
        <v>0</v>
      </c>
      <c r="I617" s="75">
        <v>0</v>
      </c>
      <c r="J617" s="152">
        <v>4</v>
      </c>
      <c r="K617" s="87">
        <v>21051228</v>
      </c>
      <c r="L617" s="75">
        <v>0</v>
      </c>
      <c r="M617" s="75">
        <v>0</v>
      </c>
      <c r="N617" s="75">
        <v>0</v>
      </c>
      <c r="O617" s="75">
        <v>0</v>
      </c>
      <c r="P617" s="75">
        <v>239435</v>
      </c>
      <c r="Q617" s="75">
        <v>0</v>
      </c>
      <c r="R617" s="75">
        <v>450496.28</v>
      </c>
      <c r="S617" s="75">
        <v>0</v>
      </c>
      <c r="T617" s="75">
        <v>0</v>
      </c>
      <c r="U617" s="238"/>
      <c r="V617" s="238"/>
    </row>
    <row r="618" spans="1:39" s="44" customFormat="1" ht="24.6" customHeight="1" x14ac:dyDescent="0.25">
      <c r="A618" s="25">
        <v>163</v>
      </c>
      <c r="B618" s="34" t="s">
        <v>1242</v>
      </c>
      <c r="C618" s="75">
        <f t="shared" si="99"/>
        <v>589435</v>
      </c>
      <c r="D618" s="75">
        <f t="shared" si="100"/>
        <v>0</v>
      </c>
      <c r="E618" s="87">
        <v>0</v>
      </c>
      <c r="F618" s="75">
        <v>0</v>
      </c>
      <c r="G618" s="75">
        <v>0</v>
      </c>
      <c r="H618" s="87">
        <v>0</v>
      </c>
      <c r="I618" s="75">
        <v>0</v>
      </c>
      <c r="J618" s="152">
        <v>0</v>
      </c>
      <c r="K618" s="87">
        <v>0</v>
      </c>
      <c r="L618" s="75">
        <v>0</v>
      </c>
      <c r="M618" s="75">
        <v>0</v>
      </c>
      <c r="N618" s="75">
        <v>0</v>
      </c>
      <c r="O618" s="75">
        <v>0</v>
      </c>
      <c r="P618" s="75">
        <v>589435</v>
      </c>
      <c r="Q618" s="75">
        <v>0</v>
      </c>
      <c r="R618" s="75">
        <v>0</v>
      </c>
      <c r="S618" s="75">
        <v>0</v>
      </c>
      <c r="T618" s="75">
        <v>0</v>
      </c>
      <c r="U618" s="238"/>
      <c r="V618" s="238"/>
    </row>
    <row r="619" spans="1:39" s="44" customFormat="1" ht="24.6" customHeight="1" x14ac:dyDescent="0.25">
      <c r="A619" s="25">
        <v>164</v>
      </c>
      <c r="B619" s="38" t="s">
        <v>1243</v>
      </c>
      <c r="C619" s="75">
        <f t="shared" si="99"/>
        <v>1751910</v>
      </c>
      <c r="D619" s="75">
        <f t="shared" si="100"/>
        <v>0</v>
      </c>
      <c r="E619" s="87">
        <v>0</v>
      </c>
      <c r="F619" s="87">
        <v>0</v>
      </c>
      <c r="G619" s="75">
        <v>0</v>
      </c>
      <c r="H619" s="87">
        <v>0</v>
      </c>
      <c r="I619" s="75">
        <v>0</v>
      </c>
      <c r="J619" s="152">
        <v>0</v>
      </c>
      <c r="K619" s="75">
        <v>0</v>
      </c>
      <c r="L619" s="75">
        <v>0</v>
      </c>
      <c r="M619" s="75">
        <v>0</v>
      </c>
      <c r="N619" s="87">
        <v>0</v>
      </c>
      <c r="O619" s="75">
        <v>0</v>
      </c>
      <c r="P619" s="87">
        <f>350382+350382+350382+350382+350382</f>
        <v>1751910</v>
      </c>
      <c r="Q619" s="75">
        <v>0</v>
      </c>
      <c r="R619" s="75">
        <v>0</v>
      </c>
      <c r="S619" s="75">
        <v>0</v>
      </c>
      <c r="T619" s="75">
        <v>0</v>
      </c>
      <c r="U619" s="238"/>
      <c r="V619" s="238"/>
      <c r="W619" s="40"/>
      <c r="X619" s="40"/>
      <c r="Y619" s="40"/>
      <c r="Z619" s="40"/>
      <c r="AA619" s="40"/>
      <c r="AB619" s="40"/>
      <c r="AC619" s="40"/>
      <c r="AD619" s="40"/>
      <c r="AE619" s="40"/>
      <c r="AF619" s="40"/>
      <c r="AG619" s="40"/>
      <c r="AH619" s="40"/>
      <c r="AI619" s="40"/>
      <c r="AJ619" s="40"/>
      <c r="AK619" s="40"/>
      <c r="AL619" s="40"/>
      <c r="AM619" s="40"/>
    </row>
    <row r="620" spans="1:39" s="40" customFormat="1" ht="22.5" customHeight="1" x14ac:dyDescent="0.25">
      <c r="A620" s="25">
        <v>165</v>
      </c>
      <c r="B620" s="38" t="s">
        <v>641</v>
      </c>
      <c r="C620" s="75">
        <f t="shared" si="99"/>
        <v>2777418.36</v>
      </c>
      <c r="D620" s="75">
        <f t="shared" si="100"/>
        <v>0</v>
      </c>
      <c r="E620" s="87">
        <v>0</v>
      </c>
      <c r="F620" s="87">
        <v>0</v>
      </c>
      <c r="G620" s="75">
        <v>0</v>
      </c>
      <c r="H620" s="87">
        <v>0</v>
      </c>
      <c r="I620" s="75">
        <v>0</v>
      </c>
      <c r="J620" s="152">
        <v>0</v>
      </c>
      <c r="K620" s="75">
        <v>0</v>
      </c>
      <c r="L620" s="75">
        <v>0</v>
      </c>
      <c r="M620" s="75">
        <v>0</v>
      </c>
      <c r="N620" s="87">
        <v>2716097.04</v>
      </c>
      <c r="O620" s="75">
        <v>0</v>
      </c>
      <c r="P620" s="87">
        <v>0</v>
      </c>
      <c r="Q620" s="75">
        <v>0</v>
      </c>
      <c r="R620" s="75">
        <v>61321.32</v>
      </c>
      <c r="S620" s="75">
        <v>0</v>
      </c>
      <c r="T620" s="75">
        <v>0</v>
      </c>
      <c r="U620" s="238"/>
      <c r="V620" s="238"/>
    </row>
    <row r="621" spans="1:39" s="40" customFormat="1" ht="22.5" customHeight="1" x14ac:dyDescent="0.25">
      <c r="A621" s="25">
        <v>166</v>
      </c>
      <c r="B621" s="34" t="s">
        <v>1244</v>
      </c>
      <c r="C621" s="75">
        <f t="shared" si="99"/>
        <v>16715728.210000001</v>
      </c>
      <c r="D621" s="75">
        <f t="shared" si="100"/>
        <v>0</v>
      </c>
      <c r="E621" s="87">
        <v>0</v>
      </c>
      <c r="F621" s="87">
        <v>0</v>
      </c>
      <c r="G621" s="75">
        <v>0</v>
      </c>
      <c r="H621" s="87">
        <v>0</v>
      </c>
      <c r="I621" s="75">
        <v>0</v>
      </c>
      <c r="J621" s="152">
        <v>3</v>
      </c>
      <c r="K621" s="75">
        <v>15788421</v>
      </c>
      <c r="L621" s="75">
        <v>0</v>
      </c>
      <c r="M621" s="75">
        <v>0</v>
      </c>
      <c r="N621" s="87">
        <v>0</v>
      </c>
      <c r="O621" s="75">
        <v>0</v>
      </c>
      <c r="P621" s="87">
        <v>589435</v>
      </c>
      <c r="Q621" s="75">
        <v>0</v>
      </c>
      <c r="R621" s="75">
        <v>337872.21</v>
      </c>
      <c r="S621" s="75">
        <v>0</v>
      </c>
      <c r="T621" s="75">
        <v>0</v>
      </c>
      <c r="U621" s="238"/>
      <c r="V621" s="238"/>
    </row>
    <row r="622" spans="1:39" s="40" customFormat="1" ht="22.5" customHeight="1" x14ac:dyDescent="0.25">
      <c r="A622" s="25">
        <v>167</v>
      </c>
      <c r="B622" s="34" t="s">
        <v>297</v>
      </c>
      <c r="C622" s="75">
        <f t="shared" si="99"/>
        <v>6308502.6400000006</v>
      </c>
      <c r="D622" s="75">
        <f t="shared" si="100"/>
        <v>6176329.2000000002</v>
      </c>
      <c r="E622" s="87">
        <v>0</v>
      </c>
      <c r="F622" s="87">
        <v>6176329.2000000002</v>
      </c>
      <c r="G622" s="75">
        <v>0</v>
      </c>
      <c r="H622" s="87">
        <v>0</v>
      </c>
      <c r="I622" s="75">
        <v>0</v>
      </c>
      <c r="J622" s="152">
        <v>0</v>
      </c>
      <c r="K622" s="75">
        <v>0</v>
      </c>
      <c r="L622" s="75">
        <v>0</v>
      </c>
      <c r="M622" s="75">
        <v>0</v>
      </c>
      <c r="N622" s="87">
        <v>0</v>
      </c>
      <c r="O622" s="75">
        <v>0</v>
      </c>
      <c r="P622" s="87">
        <v>0</v>
      </c>
      <c r="Q622" s="75">
        <v>0</v>
      </c>
      <c r="R622" s="75">
        <v>132173.44</v>
      </c>
      <c r="S622" s="75">
        <v>0</v>
      </c>
      <c r="T622" s="75">
        <v>0</v>
      </c>
      <c r="U622" s="238"/>
      <c r="V622" s="238"/>
    </row>
    <row r="623" spans="1:39" s="40" customFormat="1" ht="22.5" customHeight="1" x14ac:dyDescent="0.25">
      <c r="A623" s="25">
        <v>168</v>
      </c>
      <c r="B623" s="34" t="s">
        <v>1245</v>
      </c>
      <c r="C623" s="75">
        <f t="shared" si="99"/>
        <v>27466590.350000001</v>
      </c>
      <c r="D623" s="75">
        <f t="shared" si="100"/>
        <v>0</v>
      </c>
      <c r="E623" s="87">
        <v>0</v>
      </c>
      <c r="F623" s="87">
        <v>0</v>
      </c>
      <c r="G623" s="75">
        <v>0</v>
      </c>
      <c r="H623" s="87">
        <v>0</v>
      </c>
      <c r="I623" s="75">
        <v>0</v>
      </c>
      <c r="J623" s="152">
        <v>5</v>
      </c>
      <c r="K623" s="75">
        <f>5262807+5262807+5262807+5262807+5262807</f>
        <v>26314035</v>
      </c>
      <c r="L623" s="75">
        <v>0</v>
      </c>
      <c r="M623" s="75">
        <v>0</v>
      </c>
      <c r="N623" s="87">
        <v>0</v>
      </c>
      <c r="O623" s="75">
        <v>0</v>
      </c>
      <c r="P623" s="87">
        <v>589435</v>
      </c>
      <c r="Q623" s="75">
        <v>0</v>
      </c>
      <c r="R623" s="75">
        <f>112624.07+112624.07+112624.07+112624.07+112624.07</f>
        <v>563120.35000000009</v>
      </c>
      <c r="S623" s="75">
        <v>0</v>
      </c>
      <c r="T623" s="75">
        <v>0</v>
      </c>
      <c r="U623" s="238"/>
      <c r="V623" s="238"/>
    </row>
    <row r="624" spans="1:39" s="40" customFormat="1" ht="22.5" customHeight="1" x14ac:dyDescent="0.25">
      <c r="A624" s="25">
        <v>169</v>
      </c>
      <c r="B624" s="34" t="s">
        <v>299</v>
      </c>
      <c r="C624" s="75">
        <f t="shared" si="99"/>
        <v>13863086.73</v>
      </c>
      <c r="D624" s="75">
        <f t="shared" si="100"/>
        <v>13572632.4</v>
      </c>
      <c r="E624" s="87">
        <v>0</v>
      </c>
      <c r="F624" s="87">
        <v>13572632.4</v>
      </c>
      <c r="G624" s="87">
        <v>0</v>
      </c>
      <c r="H624" s="87">
        <v>0</v>
      </c>
      <c r="I624" s="75">
        <v>0</v>
      </c>
      <c r="J624" s="152">
        <v>0</v>
      </c>
      <c r="K624" s="75">
        <v>0</v>
      </c>
      <c r="L624" s="75">
        <v>0</v>
      </c>
      <c r="M624" s="75">
        <v>0</v>
      </c>
      <c r="N624" s="75">
        <v>0</v>
      </c>
      <c r="O624" s="75">
        <v>0</v>
      </c>
      <c r="P624" s="87">
        <v>0</v>
      </c>
      <c r="Q624" s="75">
        <v>0</v>
      </c>
      <c r="R624" s="75">
        <v>290454.33</v>
      </c>
      <c r="S624" s="75">
        <v>0</v>
      </c>
      <c r="T624" s="75">
        <v>0</v>
      </c>
      <c r="U624" s="238"/>
      <c r="V624" s="238"/>
    </row>
    <row r="625" spans="1:39" s="40" customFormat="1" ht="22.5" customHeight="1" x14ac:dyDescent="0.25">
      <c r="A625" s="25">
        <v>170</v>
      </c>
      <c r="B625" s="34" t="s">
        <v>1246</v>
      </c>
      <c r="C625" s="75">
        <f t="shared" si="99"/>
        <v>17769739.419999998</v>
      </c>
      <c r="D625" s="75">
        <f t="shared" si="100"/>
        <v>0</v>
      </c>
      <c r="E625" s="87">
        <v>0</v>
      </c>
      <c r="F625" s="87">
        <v>0</v>
      </c>
      <c r="G625" s="75">
        <v>0</v>
      </c>
      <c r="H625" s="87">
        <v>0</v>
      </c>
      <c r="I625" s="75">
        <v>0</v>
      </c>
      <c r="J625" s="152">
        <v>0</v>
      </c>
      <c r="K625" s="75">
        <v>0</v>
      </c>
      <c r="L625" s="180">
        <v>17054393.399999999</v>
      </c>
      <c r="M625" s="75">
        <v>0</v>
      </c>
      <c r="N625" s="87">
        <v>0</v>
      </c>
      <c r="O625" s="75">
        <v>0</v>
      </c>
      <c r="P625" s="87">
        <v>350382</v>
      </c>
      <c r="Q625" s="75">
        <v>0</v>
      </c>
      <c r="R625" s="75">
        <v>364964.02</v>
      </c>
      <c r="S625" s="75">
        <v>0</v>
      </c>
      <c r="T625" s="75">
        <v>0</v>
      </c>
      <c r="U625" s="238"/>
      <c r="V625" s="238"/>
    </row>
    <row r="626" spans="1:39" s="40" customFormat="1" ht="22.5" customHeight="1" x14ac:dyDescent="0.25">
      <c r="A626" s="25">
        <v>171</v>
      </c>
      <c r="B626" s="34" t="s">
        <v>303</v>
      </c>
      <c r="C626" s="75">
        <f t="shared" si="99"/>
        <v>4261657.0999999996</v>
      </c>
      <c r="D626" s="75">
        <f t="shared" si="100"/>
        <v>4261657.0999999996</v>
      </c>
      <c r="E626" s="87">
        <v>0</v>
      </c>
      <c r="F626" s="87">
        <v>4261657.0999999996</v>
      </c>
      <c r="G626" s="87">
        <v>0</v>
      </c>
      <c r="H626" s="87">
        <v>0</v>
      </c>
      <c r="I626" s="87">
        <v>0</v>
      </c>
      <c r="J626" s="152">
        <v>0</v>
      </c>
      <c r="K626" s="75">
        <v>0</v>
      </c>
      <c r="L626" s="75">
        <v>0</v>
      </c>
      <c r="M626" s="87">
        <v>0</v>
      </c>
      <c r="N626" s="87">
        <v>0</v>
      </c>
      <c r="O626" s="75">
        <v>0</v>
      </c>
      <c r="P626" s="87">
        <v>0</v>
      </c>
      <c r="Q626" s="75">
        <v>0</v>
      </c>
      <c r="R626" s="75">
        <v>0</v>
      </c>
      <c r="S626" s="75">
        <v>0</v>
      </c>
      <c r="T626" s="75">
        <v>0</v>
      </c>
      <c r="U626" s="238"/>
      <c r="V626" s="238"/>
    </row>
    <row r="627" spans="1:39" s="40" customFormat="1" ht="22.5" customHeight="1" x14ac:dyDescent="0.25">
      <c r="A627" s="326" t="s">
        <v>304</v>
      </c>
      <c r="B627" s="326"/>
      <c r="C627" s="118">
        <f t="shared" ref="C627:T627" si="102">C628</f>
        <v>4801450.8500000006</v>
      </c>
      <c r="D627" s="118">
        <f t="shared" si="102"/>
        <v>0</v>
      </c>
      <c r="E627" s="118">
        <f t="shared" si="102"/>
        <v>0</v>
      </c>
      <c r="F627" s="118">
        <f t="shared" si="102"/>
        <v>0</v>
      </c>
      <c r="G627" s="118">
        <f t="shared" si="102"/>
        <v>0</v>
      </c>
      <c r="H627" s="118">
        <f t="shared" si="102"/>
        <v>0</v>
      </c>
      <c r="I627" s="118">
        <f t="shared" si="102"/>
        <v>0</v>
      </c>
      <c r="J627" s="119">
        <f t="shared" si="102"/>
        <v>0</v>
      </c>
      <c r="K627" s="118">
        <f t="shared" si="102"/>
        <v>0</v>
      </c>
      <c r="L627" s="118">
        <f t="shared" si="102"/>
        <v>0</v>
      </c>
      <c r="M627" s="118">
        <f t="shared" si="102"/>
        <v>0</v>
      </c>
      <c r="N627" s="118">
        <f t="shared" si="102"/>
        <v>4630462.87</v>
      </c>
      <c r="O627" s="118">
        <f t="shared" si="102"/>
        <v>0</v>
      </c>
      <c r="P627" s="118">
        <f t="shared" si="102"/>
        <v>0</v>
      </c>
      <c r="Q627" s="118">
        <f t="shared" si="102"/>
        <v>0</v>
      </c>
      <c r="R627" s="118">
        <f t="shared" si="102"/>
        <v>170987.98</v>
      </c>
      <c r="S627" s="118">
        <f t="shared" si="102"/>
        <v>0</v>
      </c>
      <c r="T627" s="118">
        <f t="shared" si="102"/>
        <v>0</v>
      </c>
      <c r="U627" s="238"/>
      <c r="V627" s="238"/>
      <c r="W627" s="44"/>
      <c r="X627" s="44"/>
      <c r="Y627" s="44"/>
      <c r="Z627" s="44"/>
      <c r="AA627" s="44"/>
      <c r="AB627" s="44"/>
      <c r="AC627" s="44"/>
      <c r="AD627" s="44"/>
      <c r="AE627" s="44"/>
      <c r="AF627" s="44"/>
      <c r="AG627" s="44"/>
      <c r="AH627" s="44"/>
      <c r="AI627" s="44"/>
      <c r="AJ627" s="44"/>
      <c r="AK627" s="44"/>
      <c r="AL627" s="44"/>
      <c r="AM627" s="44"/>
    </row>
    <row r="628" spans="1:39" s="40" customFormat="1" ht="22.5" customHeight="1" x14ac:dyDescent="0.25">
      <c r="A628" s="25">
        <v>1</v>
      </c>
      <c r="B628" s="38" t="s">
        <v>644</v>
      </c>
      <c r="C628" s="75">
        <f>D628+K628+L628+M628+N628+O628+P628+Q628+R628+S628+T628</f>
        <v>4801450.8500000006</v>
      </c>
      <c r="D628" s="75">
        <f>SUM(E628:I628)</f>
        <v>0</v>
      </c>
      <c r="E628" s="75">
        <v>0</v>
      </c>
      <c r="F628" s="75">
        <v>0</v>
      </c>
      <c r="G628" s="75">
        <v>0</v>
      </c>
      <c r="H628" s="75">
        <v>0</v>
      </c>
      <c r="I628" s="75">
        <v>0</v>
      </c>
      <c r="J628" s="152">
        <v>0</v>
      </c>
      <c r="K628" s="75">
        <v>0</v>
      </c>
      <c r="L628" s="75">
        <v>0</v>
      </c>
      <c r="M628" s="75">
        <v>0</v>
      </c>
      <c r="N628" s="75">
        <v>4630462.87</v>
      </c>
      <c r="O628" s="75">
        <v>0</v>
      </c>
      <c r="P628" s="75">
        <v>0</v>
      </c>
      <c r="Q628" s="75">
        <v>0</v>
      </c>
      <c r="R628" s="75">
        <v>170987.98</v>
      </c>
      <c r="S628" s="75">
        <v>0</v>
      </c>
      <c r="T628" s="75">
        <v>0</v>
      </c>
      <c r="U628" s="239"/>
      <c r="V628" s="239"/>
      <c r="W628" s="44"/>
      <c r="X628" s="44"/>
      <c r="Y628" s="44"/>
      <c r="Z628" s="44"/>
      <c r="AA628" s="44"/>
      <c r="AB628" s="44"/>
      <c r="AC628" s="44"/>
      <c r="AD628" s="44"/>
      <c r="AE628" s="44"/>
      <c r="AF628" s="44"/>
      <c r="AG628" s="44"/>
      <c r="AH628" s="44"/>
      <c r="AI628" s="44"/>
      <c r="AJ628" s="44"/>
      <c r="AK628" s="44"/>
      <c r="AL628" s="44"/>
      <c r="AM628" s="44"/>
    </row>
    <row r="629" spans="1:39" s="186" customFormat="1" ht="22.5" customHeight="1" x14ac:dyDescent="0.25">
      <c r="A629" s="322" t="s">
        <v>309</v>
      </c>
      <c r="B629" s="322"/>
      <c r="C629" s="118">
        <f t="shared" ref="C629:T629" si="103">SUM(C630:C632)</f>
        <v>26413494.32</v>
      </c>
      <c r="D629" s="118">
        <f t="shared" si="103"/>
        <v>18716223.149999999</v>
      </c>
      <c r="E629" s="118">
        <f t="shared" si="103"/>
        <v>6543763.7999999998</v>
      </c>
      <c r="F629" s="118">
        <f t="shared" si="103"/>
        <v>4316627.9400000004</v>
      </c>
      <c r="G629" s="118">
        <f t="shared" si="103"/>
        <v>6754828.8700000001</v>
      </c>
      <c r="H629" s="118">
        <f t="shared" si="103"/>
        <v>0</v>
      </c>
      <c r="I629" s="118">
        <f t="shared" si="103"/>
        <v>1101002.54</v>
      </c>
      <c r="J629" s="119">
        <f t="shared" si="103"/>
        <v>0</v>
      </c>
      <c r="K629" s="118">
        <f t="shared" si="103"/>
        <v>0</v>
      </c>
      <c r="L629" s="118">
        <f t="shared" si="103"/>
        <v>0</v>
      </c>
      <c r="M629" s="118">
        <f t="shared" si="103"/>
        <v>0</v>
      </c>
      <c r="N629" s="118">
        <f t="shared" si="103"/>
        <v>6106709.4000000004</v>
      </c>
      <c r="O629" s="118">
        <f t="shared" si="103"/>
        <v>0</v>
      </c>
      <c r="P629" s="118">
        <f t="shared" si="103"/>
        <v>1051146</v>
      </c>
      <c r="Q629" s="118">
        <f t="shared" si="103"/>
        <v>0</v>
      </c>
      <c r="R629" s="118">
        <f t="shared" si="103"/>
        <v>539415.7699999999</v>
      </c>
      <c r="S629" s="118">
        <f t="shared" si="103"/>
        <v>0</v>
      </c>
      <c r="T629" s="118">
        <f t="shared" si="103"/>
        <v>0</v>
      </c>
      <c r="U629" s="238"/>
      <c r="V629" s="238"/>
    </row>
    <row r="630" spans="1:39" s="40" customFormat="1" ht="22.5" customHeight="1" x14ac:dyDescent="0.25">
      <c r="A630" s="25">
        <v>1</v>
      </c>
      <c r="B630" s="37" t="s">
        <v>1247</v>
      </c>
      <c r="C630" s="75">
        <f t="shared" ref="C630:C632" si="104">D630+K630+L630+M630+N630+O630+P630+Q630+R630+S630+T630</f>
        <v>16260493.48</v>
      </c>
      <c r="D630" s="75">
        <f t="shared" ref="D630:D632" si="105">SUM(E630:I630)</f>
        <v>12814583.57</v>
      </c>
      <c r="E630" s="87">
        <v>6543763.7999999998</v>
      </c>
      <c r="F630" s="87">
        <v>4316627.9400000004</v>
      </c>
      <c r="G630" s="87">
        <v>1954191.83</v>
      </c>
      <c r="H630" s="87">
        <v>0</v>
      </c>
      <c r="I630" s="87">
        <v>0</v>
      </c>
      <c r="J630" s="152">
        <v>0</v>
      </c>
      <c r="K630" s="75">
        <v>0</v>
      </c>
      <c r="L630" s="75">
        <v>0</v>
      </c>
      <c r="M630" s="75">
        <v>0</v>
      </c>
      <c r="N630" s="75">
        <v>2755131</v>
      </c>
      <c r="O630" s="75">
        <v>0</v>
      </c>
      <c r="P630" s="87">
        <v>350382</v>
      </c>
      <c r="Q630" s="75">
        <v>0</v>
      </c>
      <c r="R630" s="75">
        <f>41819.71+99580.85+140036.55+58959.8</f>
        <v>340396.91</v>
      </c>
      <c r="S630" s="75">
        <v>0</v>
      </c>
      <c r="T630" s="75">
        <v>0</v>
      </c>
      <c r="U630" s="239"/>
      <c r="V630" s="239"/>
    </row>
    <row r="631" spans="1:39" s="40" customFormat="1" ht="22.5" customHeight="1" x14ac:dyDescent="0.25">
      <c r="A631" s="25">
        <v>2</v>
      </c>
      <c r="B631" s="37" t="s">
        <v>313</v>
      </c>
      <c r="C631" s="75">
        <f t="shared" si="104"/>
        <v>5500095.0100000007</v>
      </c>
      <c r="D631" s="75">
        <f t="shared" si="105"/>
        <v>2032301.58</v>
      </c>
      <c r="E631" s="87">
        <v>0</v>
      </c>
      <c r="F631" s="75">
        <v>0</v>
      </c>
      <c r="G631" s="87">
        <v>2032301.58</v>
      </c>
      <c r="H631" s="87">
        <v>0</v>
      </c>
      <c r="I631" s="87">
        <v>0</v>
      </c>
      <c r="J631" s="152">
        <v>0</v>
      </c>
      <c r="K631" s="75">
        <v>0</v>
      </c>
      <c r="L631" s="75">
        <v>0</v>
      </c>
      <c r="M631" s="75">
        <v>0</v>
      </c>
      <c r="N631" s="75">
        <v>3351578.4</v>
      </c>
      <c r="O631" s="75">
        <v>0</v>
      </c>
      <c r="P631" s="87">
        <v>0</v>
      </c>
      <c r="Q631" s="75">
        <v>0</v>
      </c>
      <c r="R631" s="75">
        <f>44491.25+71723.78</f>
        <v>116215.03</v>
      </c>
      <c r="S631" s="75">
        <v>0</v>
      </c>
      <c r="T631" s="75">
        <v>0</v>
      </c>
      <c r="U631" s="239"/>
      <c r="V631" s="239"/>
    </row>
    <row r="632" spans="1:39" s="40" customFormat="1" ht="22.5" customHeight="1" x14ac:dyDescent="0.25">
      <c r="A632" s="25">
        <v>3</v>
      </c>
      <c r="B632" s="37" t="s">
        <v>1248</v>
      </c>
      <c r="C632" s="75">
        <f t="shared" si="104"/>
        <v>4652905.83</v>
      </c>
      <c r="D632" s="75">
        <f t="shared" si="105"/>
        <v>3869338</v>
      </c>
      <c r="E632" s="87">
        <v>0</v>
      </c>
      <c r="F632" s="75">
        <v>0</v>
      </c>
      <c r="G632" s="87">
        <v>2768335.46</v>
      </c>
      <c r="H632" s="87">
        <v>0</v>
      </c>
      <c r="I632" s="87">
        <v>1101002.54</v>
      </c>
      <c r="J632" s="152">
        <v>0</v>
      </c>
      <c r="K632" s="87">
        <v>0</v>
      </c>
      <c r="L632" s="75">
        <v>0</v>
      </c>
      <c r="M632" s="75">
        <v>0</v>
      </c>
      <c r="N632" s="75">
        <v>0</v>
      </c>
      <c r="O632" s="87">
        <v>0</v>
      </c>
      <c r="P632" s="75">
        <f>350382+350382</f>
        <v>700764</v>
      </c>
      <c r="Q632" s="87">
        <v>0</v>
      </c>
      <c r="R632" s="75">
        <f>59242.38+23561.45</f>
        <v>82803.83</v>
      </c>
      <c r="S632" s="87">
        <v>0</v>
      </c>
      <c r="T632" s="75">
        <v>0</v>
      </c>
      <c r="U632" s="238"/>
      <c r="V632" s="238"/>
    </row>
    <row r="633" spans="1:39" s="258" customFormat="1" ht="27.75" customHeight="1" x14ac:dyDescent="0.25">
      <c r="A633" s="347" t="s">
        <v>318</v>
      </c>
      <c r="B633" s="347"/>
      <c r="C633" s="118">
        <f t="shared" ref="C633:T633" si="106">SUM(C634:C641)</f>
        <v>32293446.030000001</v>
      </c>
      <c r="D633" s="118">
        <f t="shared" si="106"/>
        <v>6369385.2599999998</v>
      </c>
      <c r="E633" s="118">
        <f t="shared" si="106"/>
        <v>1486100</v>
      </c>
      <c r="F633" s="118">
        <f t="shared" si="106"/>
        <v>3625819.66</v>
      </c>
      <c r="G633" s="118">
        <f t="shared" si="106"/>
        <v>0</v>
      </c>
      <c r="H633" s="118">
        <f t="shared" si="106"/>
        <v>0</v>
      </c>
      <c r="I633" s="118">
        <f t="shared" si="106"/>
        <v>1257465.6000000001</v>
      </c>
      <c r="J633" s="119">
        <f t="shared" si="106"/>
        <v>0</v>
      </c>
      <c r="K633" s="118">
        <f t="shared" si="106"/>
        <v>0</v>
      </c>
      <c r="L633" s="118">
        <f t="shared" si="106"/>
        <v>22881377.880000003</v>
      </c>
      <c r="M633" s="118">
        <f t="shared" si="106"/>
        <v>0</v>
      </c>
      <c r="N633" s="118">
        <f t="shared" si="106"/>
        <v>0</v>
      </c>
      <c r="O633" s="118">
        <f t="shared" si="106"/>
        <v>0</v>
      </c>
      <c r="P633" s="118">
        <f t="shared" si="106"/>
        <v>2390346</v>
      </c>
      <c r="Q633" s="118">
        <f t="shared" si="106"/>
        <v>0</v>
      </c>
      <c r="R633" s="118">
        <f t="shared" si="106"/>
        <v>652336.89</v>
      </c>
      <c r="S633" s="118">
        <f t="shared" si="106"/>
        <v>0</v>
      </c>
      <c r="T633" s="118">
        <f t="shared" si="106"/>
        <v>0</v>
      </c>
      <c r="U633" s="252"/>
      <c r="V633" s="252"/>
    </row>
    <row r="634" spans="1:39" s="275" customFormat="1" ht="27.75" customHeight="1" x14ac:dyDescent="0.25">
      <c r="A634" s="259">
        <v>1</v>
      </c>
      <c r="B634" s="37" t="s">
        <v>1249</v>
      </c>
      <c r="C634" s="75">
        <f t="shared" ref="C634:C641" si="107">D634+K634+L634+M634+N634+O634+P634+Q634+R634+S634+T634</f>
        <v>1062376</v>
      </c>
      <c r="D634" s="75">
        <f t="shared" ref="D634:D641" si="108">SUM(E634:I634)</f>
        <v>0</v>
      </c>
      <c r="E634" s="75">
        <v>0</v>
      </c>
      <c r="F634" s="75">
        <v>0</v>
      </c>
      <c r="G634" s="75">
        <v>0</v>
      </c>
      <c r="H634" s="75">
        <v>0</v>
      </c>
      <c r="I634" s="75">
        <v>0</v>
      </c>
      <c r="J634" s="152">
        <v>0</v>
      </c>
      <c r="K634" s="75">
        <v>0</v>
      </c>
      <c r="L634" s="75">
        <v>0</v>
      </c>
      <c r="M634" s="75">
        <v>0</v>
      </c>
      <c r="N634" s="75">
        <v>0</v>
      </c>
      <c r="O634" s="75">
        <v>0</v>
      </c>
      <c r="P634" s="75">
        <v>1062376</v>
      </c>
      <c r="Q634" s="75">
        <v>0</v>
      </c>
      <c r="R634" s="75">
        <v>0</v>
      </c>
      <c r="S634" s="75">
        <v>0</v>
      </c>
      <c r="T634" s="75">
        <v>0</v>
      </c>
      <c r="U634" s="253"/>
      <c r="V634" s="253"/>
    </row>
    <row r="635" spans="1:39" s="275" customFormat="1" ht="22.5" customHeight="1" x14ac:dyDescent="0.25">
      <c r="A635" s="259">
        <v>2</v>
      </c>
      <c r="B635" s="37" t="s">
        <v>1250</v>
      </c>
      <c r="C635" s="75">
        <f t="shared" si="107"/>
        <v>1783496.54</v>
      </c>
      <c r="D635" s="75">
        <f t="shared" si="108"/>
        <v>1486100</v>
      </c>
      <c r="E635" s="75">
        <v>1486100</v>
      </c>
      <c r="F635" s="75">
        <v>0</v>
      </c>
      <c r="G635" s="75">
        <v>0</v>
      </c>
      <c r="H635" s="75">
        <v>0</v>
      </c>
      <c r="I635" s="75">
        <v>0</v>
      </c>
      <c r="J635" s="152">
        <v>0</v>
      </c>
      <c r="K635" s="75">
        <v>0</v>
      </c>
      <c r="L635" s="75">
        <v>0</v>
      </c>
      <c r="M635" s="75">
        <v>0</v>
      </c>
      <c r="N635" s="75">
        <v>0</v>
      </c>
      <c r="O635" s="75">
        <v>0</v>
      </c>
      <c r="P635" s="75">
        <v>265594</v>
      </c>
      <c r="Q635" s="75">
        <v>0</v>
      </c>
      <c r="R635" s="75">
        <v>31802.54</v>
      </c>
      <c r="S635" s="75">
        <v>0</v>
      </c>
      <c r="T635" s="75">
        <v>0</v>
      </c>
      <c r="U635" s="253"/>
      <c r="V635" s="253"/>
    </row>
    <row r="636" spans="1:39" s="275" customFormat="1" ht="21" customHeight="1" x14ac:dyDescent="0.25">
      <c r="A636" s="259">
        <v>3</v>
      </c>
      <c r="B636" s="37" t="s">
        <v>1251</v>
      </c>
      <c r="C636" s="75">
        <f t="shared" si="107"/>
        <v>1549969.36</v>
      </c>
      <c r="D636" s="75">
        <f t="shared" si="108"/>
        <v>1257465.6000000001</v>
      </c>
      <c r="E636" s="75">
        <v>0</v>
      </c>
      <c r="F636" s="87">
        <v>0</v>
      </c>
      <c r="G636" s="75">
        <v>0</v>
      </c>
      <c r="H636" s="75">
        <v>0</v>
      </c>
      <c r="I636" s="75">
        <v>1257465.6000000001</v>
      </c>
      <c r="J636" s="152">
        <v>0</v>
      </c>
      <c r="K636" s="75">
        <v>0</v>
      </c>
      <c r="L636" s="87">
        <v>0</v>
      </c>
      <c r="M636" s="75">
        <v>0</v>
      </c>
      <c r="N636" s="87">
        <v>0</v>
      </c>
      <c r="O636" s="75">
        <v>0</v>
      </c>
      <c r="P636" s="87">
        <v>265594</v>
      </c>
      <c r="Q636" s="75">
        <v>0</v>
      </c>
      <c r="R636" s="42">
        <v>26909.759999999998</v>
      </c>
      <c r="S636" s="75">
        <v>0</v>
      </c>
      <c r="T636" s="75">
        <v>0</v>
      </c>
      <c r="U636" s="253"/>
      <c r="V636" s="253"/>
      <c r="W636" s="40"/>
      <c r="X636" s="40"/>
      <c r="Y636" s="40"/>
      <c r="Z636" s="40"/>
      <c r="AA636" s="40"/>
      <c r="AB636" s="40"/>
      <c r="AC636" s="40"/>
      <c r="AD636" s="40"/>
      <c r="AE636" s="40"/>
      <c r="AF636" s="40"/>
      <c r="AG636" s="40"/>
      <c r="AH636" s="40"/>
      <c r="AI636" s="40"/>
    </row>
    <row r="637" spans="1:39" s="186" customFormat="1" ht="22.5" customHeight="1" x14ac:dyDescent="0.25">
      <c r="A637" s="259">
        <v>4</v>
      </c>
      <c r="B637" s="37" t="s">
        <v>322</v>
      </c>
      <c r="C637" s="75">
        <f t="shared" si="107"/>
        <v>2167883.4500000002</v>
      </c>
      <c r="D637" s="75">
        <f t="shared" si="108"/>
        <v>2122537.6</v>
      </c>
      <c r="E637" s="75">
        <v>0</v>
      </c>
      <c r="F637" s="75">
        <v>2122537.6</v>
      </c>
      <c r="G637" s="75">
        <v>0</v>
      </c>
      <c r="H637" s="75">
        <v>0</v>
      </c>
      <c r="I637" s="87">
        <v>0</v>
      </c>
      <c r="J637" s="152">
        <v>0</v>
      </c>
      <c r="K637" s="75">
        <v>0</v>
      </c>
      <c r="L637" s="75">
        <v>0</v>
      </c>
      <c r="M637" s="75">
        <v>0</v>
      </c>
      <c r="N637" s="75">
        <v>0</v>
      </c>
      <c r="O637" s="75">
        <v>0</v>
      </c>
      <c r="P637" s="87">
        <v>0</v>
      </c>
      <c r="Q637" s="75">
        <v>0</v>
      </c>
      <c r="R637" s="42">
        <v>45345.85</v>
      </c>
      <c r="S637" s="75">
        <v>0</v>
      </c>
      <c r="T637" s="75">
        <v>0</v>
      </c>
      <c r="U637" s="253"/>
      <c r="V637" s="253"/>
    </row>
    <row r="638" spans="1:39" s="186" customFormat="1" ht="22.5" customHeight="1" x14ac:dyDescent="0.25">
      <c r="A638" s="259">
        <v>5</v>
      </c>
      <c r="B638" s="37" t="s">
        <v>1252</v>
      </c>
      <c r="C638" s="75">
        <f t="shared" si="107"/>
        <v>9045370.5099999998</v>
      </c>
      <c r="D638" s="75">
        <f t="shared" si="108"/>
        <v>0</v>
      </c>
      <c r="E638" s="75">
        <v>0</v>
      </c>
      <c r="F638" s="75">
        <v>0</v>
      </c>
      <c r="G638" s="75">
        <v>0</v>
      </c>
      <c r="H638" s="75">
        <v>0</v>
      </c>
      <c r="I638" s="87">
        <v>0</v>
      </c>
      <c r="J638" s="152">
        <v>0</v>
      </c>
      <c r="K638" s="75">
        <v>0</v>
      </c>
      <c r="L638" s="75">
        <v>8595825.8399999999</v>
      </c>
      <c r="M638" s="75">
        <v>0</v>
      </c>
      <c r="N638" s="75">
        <v>0</v>
      </c>
      <c r="O638" s="75">
        <v>0</v>
      </c>
      <c r="P638" s="87">
        <v>265594</v>
      </c>
      <c r="Q638" s="75">
        <v>0</v>
      </c>
      <c r="R638" s="42">
        <v>183950.67</v>
      </c>
      <c r="S638" s="75">
        <v>0</v>
      </c>
      <c r="T638" s="75">
        <v>0</v>
      </c>
      <c r="U638" s="253"/>
      <c r="V638" s="253"/>
    </row>
    <row r="639" spans="1:39" s="186" customFormat="1" ht="22.5" customHeight="1" x14ac:dyDescent="0.25">
      <c r="A639" s="259">
        <v>6</v>
      </c>
      <c r="B639" s="37" t="s">
        <v>1253</v>
      </c>
      <c r="C639" s="75">
        <f t="shared" si="107"/>
        <v>9086700.3200000003</v>
      </c>
      <c r="D639" s="75">
        <f t="shared" si="108"/>
        <v>0</v>
      </c>
      <c r="E639" s="75">
        <v>0</v>
      </c>
      <c r="F639" s="75">
        <v>0</v>
      </c>
      <c r="G639" s="75">
        <v>0</v>
      </c>
      <c r="H639" s="75">
        <v>0</v>
      </c>
      <c r="I639" s="87">
        <v>0</v>
      </c>
      <c r="J639" s="152">
        <v>0</v>
      </c>
      <c r="K639" s="75">
        <v>0</v>
      </c>
      <c r="L639" s="75">
        <v>8636289.7200000007</v>
      </c>
      <c r="M639" s="75">
        <v>0</v>
      </c>
      <c r="N639" s="75">
        <v>0</v>
      </c>
      <c r="O639" s="75">
        <v>0</v>
      </c>
      <c r="P639" s="87">
        <v>265594</v>
      </c>
      <c r="Q639" s="75">
        <v>0</v>
      </c>
      <c r="R639" s="42">
        <v>184816.6</v>
      </c>
      <c r="S639" s="75">
        <v>0</v>
      </c>
      <c r="T639" s="75">
        <v>0</v>
      </c>
      <c r="U639" s="253"/>
      <c r="V639" s="253"/>
    </row>
    <row r="640" spans="1:39" s="186" customFormat="1" ht="22.5" customHeight="1" x14ac:dyDescent="0.25">
      <c r="A640" s="259">
        <v>7</v>
      </c>
      <c r="B640" s="37" t="s">
        <v>1254</v>
      </c>
      <c r="C640" s="75">
        <f t="shared" si="107"/>
        <v>6035750.5300000003</v>
      </c>
      <c r="D640" s="75">
        <f t="shared" si="108"/>
        <v>0</v>
      </c>
      <c r="E640" s="75">
        <v>0</v>
      </c>
      <c r="F640" s="75">
        <v>0</v>
      </c>
      <c r="G640" s="75">
        <v>0</v>
      </c>
      <c r="H640" s="75">
        <v>0</v>
      </c>
      <c r="I640" s="87">
        <v>0</v>
      </c>
      <c r="J640" s="152">
        <v>0</v>
      </c>
      <c r="K640" s="75">
        <v>0</v>
      </c>
      <c r="L640" s="75">
        <v>5649262.3200000003</v>
      </c>
      <c r="M640" s="75">
        <v>0</v>
      </c>
      <c r="N640" s="75">
        <v>0</v>
      </c>
      <c r="O640" s="75">
        <v>0</v>
      </c>
      <c r="P640" s="87">
        <v>265594</v>
      </c>
      <c r="Q640" s="75">
        <v>0</v>
      </c>
      <c r="R640" s="42">
        <v>120894.21</v>
      </c>
      <c r="S640" s="75">
        <v>0</v>
      </c>
      <c r="T640" s="75">
        <v>0</v>
      </c>
      <c r="U640" s="253"/>
      <c r="V640" s="253"/>
    </row>
    <row r="641" spans="1:35" s="186" customFormat="1" ht="22.5" customHeight="1" x14ac:dyDescent="0.25">
      <c r="A641" s="259">
        <v>8</v>
      </c>
      <c r="B641" s="37" t="s">
        <v>324</v>
      </c>
      <c r="C641" s="75">
        <f t="shared" si="107"/>
        <v>1561899.32</v>
      </c>
      <c r="D641" s="75">
        <f t="shared" si="108"/>
        <v>1503282.06</v>
      </c>
      <c r="E641" s="75">
        <v>0</v>
      </c>
      <c r="F641" s="75">
        <v>1503282.06</v>
      </c>
      <c r="G641" s="75">
        <v>0</v>
      </c>
      <c r="H641" s="75">
        <v>0</v>
      </c>
      <c r="I641" s="75">
        <v>0</v>
      </c>
      <c r="J641" s="152">
        <v>0</v>
      </c>
      <c r="K641" s="75">
        <v>0</v>
      </c>
      <c r="L641" s="75">
        <v>0</v>
      </c>
      <c r="M641" s="75">
        <v>0</v>
      </c>
      <c r="N641" s="75">
        <v>0</v>
      </c>
      <c r="O641" s="75">
        <v>0</v>
      </c>
      <c r="P641" s="75">
        <v>0</v>
      </c>
      <c r="Q641" s="75">
        <v>0</v>
      </c>
      <c r="R641" s="75">
        <v>58617.26</v>
      </c>
      <c r="S641" s="75">
        <v>0</v>
      </c>
      <c r="T641" s="75">
        <v>0</v>
      </c>
      <c r="U641" s="264"/>
      <c r="V641" s="264"/>
    </row>
    <row r="642" spans="1:35" s="186" customFormat="1" ht="22.5" customHeight="1" x14ac:dyDescent="0.25">
      <c r="A642" s="322" t="s">
        <v>327</v>
      </c>
      <c r="B642" s="322"/>
      <c r="C642" s="118">
        <f t="shared" ref="C642:T642" si="109">SUM(C643:C651)</f>
        <v>21549705.399999999</v>
      </c>
      <c r="D642" s="118">
        <f t="shared" si="109"/>
        <v>19034111.879999999</v>
      </c>
      <c r="E642" s="118">
        <f t="shared" si="109"/>
        <v>0</v>
      </c>
      <c r="F642" s="118">
        <f t="shared" si="109"/>
        <v>12428829.49</v>
      </c>
      <c r="G642" s="118">
        <f t="shared" si="109"/>
        <v>120168.1</v>
      </c>
      <c r="H642" s="118">
        <f t="shared" si="109"/>
        <v>2246552.58</v>
      </c>
      <c r="I642" s="118">
        <f t="shared" si="109"/>
        <v>4238561.71</v>
      </c>
      <c r="J642" s="119">
        <f t="shared" si="109"/>
        <v>0</v>
      </c>
      <c r="K642" s="118">
        <f t="shared" si="109"/>
        <v>0</v>
      </c>
      <c r="L642" s="118">
        <f t="shared" si="109"/>
        <v>0</v>
      </c>
      <c r="M642" s="118">
        <f t="shared" si="109"/>
        <v>0</v>
      </c>
      <c r="N642" s="118">
        <f t="shared" si="109"/>
        <v>0</v>
      </c>
      <c r="O642" s="118">
        <f t="shared" si="109"/>
        <v>0</v>
      </c>
      <c r="P642" s="118">
        <f t="shared" si="109"/>
        <v>2113522</v>
      </c>
      <c r="Q642" s="118">
        <f t="shared" si="109"/>
        <v>0</v>
      </c>
      <c r="R642" s="118">
        <f t="shared" si="109"/>
        <v>402071.52</v>
      </c>
      <c r="S642" s="118">
        <f t="shared" si="109"/>
        <v>0</v>
      </c>
      <c r="T642" s="118">
        <f t="shared" si="109"/>
        <v>0</v>
      </c>
      <c r="U642" s="238"/>
      <c r="V642" s="238"/>
    </row>
    <row r="643" spans="1:35" s="186" customFormat="1" ht="22.5" customHeight="1" x14ac:dyDescent="0.25">
      <c r="A643" s="25">
        <v>1</v>
      </c>
      <c r="B643" s="37" t="s">
        <v>652</v>
      </c>
      <c r="C643" s="180">
        <f t="shared" ref="C643:C651" si="110">D643+K643+L643+M643+N643+O643+P643+Q643+R643+S643+T643</f>
        <v>678812.35</v>
      </c>
      <c r="D643" s="75">
        <f t="shared" ref="D643:D651" si="111">SUM(E643:I643)</f>
        <v>678812.35</v>
      </c>
      <c r="E643" s="180">
        <v>0</v>
      </c>
      <c r="F643" s="75">
        <v>0</v>
      </c>
      <c r="G643" s="180">
        <v>0</v>
      </c>
      <c r="H643" s="75">
        <v>256642.56</v>
      </c>
      <c r="I643" s="180">
        <v>422169.79</v>
      </c>
      <c r="J643" s="152">
        <v>0</v>
      </c>
      <c r="K643" s="180">
        <v>0</v>
      </c>
      <c r="L643" s="75">
        <v>0</v>
      </c>
      <c r="M643" s="180">
        <v>0</v>
      </c>
      <c r="N643" s="75">
        <v>0</v>
      </c>
      <c r="O643" s="180">
        <v>0</v>
      </c>
      <c r="P643" s="75">
        <v>0</v>
      </c>
      <c r="Q643" s="180">
        <v>0</v>
      </c>
      <c r="R643" s="75">
        <v>0</v>
      </c>
      <c r="S643" s="180">
        <v>0</v>
      </c>
      <c r="T643" s="75">
        <v>0</v>
      </c>
      <c r="U643" s="239"/>
      <c r="V643" s="239"/>
      <c r="W643" s="44"/>
      <c r="X643" s="44"/>
      <c r="Y643" s="44"/>
      <c r="Z643" s="44"/>
      <c r="AA643" s="44"/>
      <c r="AB643" s="44"/>
      <c r="AC643" s="44"/>
      <c r="AD643" s="44"/>
      <c r="AE643" s="44"/>
      <c r="AF643" s="44"/>
      <c r="AG643" s="44"/>
      <c r="AH643" s="44"/>
      <c r="AI643" s="44"/>
    </row>
    <row r="644" spans="1:35" s="186" customFormat="1" ht="22.5" customHeight="1" x14ac:dyDescent="0.25">
      <c r="A644" s="25">
        <v>2</v>
      </c>
      <c r="B644" s="37" t="s">
        <v>331</v>
      </c>
      <c r="C644" s="75">
        <f t="shared" si="110"/>
        <v>2545081.46</v>
      </c>
      <c r="D644" s="75">
        <f t="shared" si="111"/>
        <v>2499283.0299999998</v>
      </c>
      <c r="E644" s="75">
        <v>0</v>
      </c>
      <c r="F644" s="75">
        <v>2499283.0299999998</v>
      </c>
      <c r="G644" s="75">
        <v>0</v>
      </c>
      <c r="H644" s="75">
        <v>0</v>
      </c>
      <c r="I644" s="75">
        <v>0</v>
      </c>
      <c r="J644" s="152">
        <v>0</v>
      </c>
      <c r="K644" s="75">
        <v>0</v>
      </c>
      <c r="L644" s="75">
        <v>0</v>
      </c>
      <c r="M644" s="75">
        <v>0</v>
      </c>
      <c r="N644" s="75">
        <v>0</v>
      </c>
      <c r="O644" s="75">
        <v>0</v>
      </c>
      <c r="P644" s="75">
        <v>0</v>
      </c>
      <c r="Q644" s="75">
        <v>0</v>
      </c>
      <c r="R644" s="75">
        <v>45798.43</v>
      </c>
      <c r="S644" s="75">
        <v>0</v>
      </c>
      <c r="T644" s="75">
        <v>0</v>
      </c>
      <c r="U644" s="239"/>
      <c r="V644" s="239"/>
    </row>
    <row r="645" spans="1:35" s="186" customFormat="1" ht="22.5" customHeight="1" x14ac:dyDescent="0.25">
      <c r="A645" s="25">
        <v>3</v>
      </c>
      <c r="B645" s="37" t="s">
        <v>653</v>
      </c>
      <c r="C645" s="180">
        <f t="shared" si="110"/>
        <v>848569.45000000007</v>
      </c>
      <c r="D645" s="75">
        <f t="shared" si="111"/>
        <v>848569.45000000007</v>
      </c>
      <c r="E645" s="180">
        <v>0</v>
      </c>
      <c r="F645" s="75">
        <v>0</v>
      </c>
      <c r="G645" s="180">
        <v>0</v>
      </c>
      <c r="H645" s="75">
        <v>283199.89</v>
      </c>
      <c r="I645" s="180">
        <v>565369.56000000006</v>
      </c>
      <c r="J645" s="152">
        <v>0</v>
      </c>
      <c r="K645" s="180">
        <v>0</v>
      </c>
      <c r="L645" s="75">
        <v>0</v>
      </c>
      <c r="M645" s="180">
        <v>0</v>
      </c>
      <c r="N645" s="75">
        <v>0</v>
      </c>
      <c r="O645" s="180">
        <v>0</v>
      </c>
      <c r="P645" s="75">
        <v>0</v>
      </c>
      <c r="Q645" s="180">
        <v>0</v>
      </c>
      <c r="R645" s="75">
        <v>0</v>
      </c>
      <c r="S645" s="180">
        <v>0</v>
      </c>
      <c r="T645" s="75">
        <v>0</v>
      </c>
      <c r="U645" s="238"/>
      <c r="V645" s="238"/>
    </row>
    <row r="646" spans="1:35" s="186" customFormat="1" ht="22.5" customHeight="1" x14ac:dyDescent="0.25">
      <c r="A646" s="25">
        <v>4</v>
      </c>
      <c r="B646" s="37" t="s">
        <v>654</v>
      </c>
      <c r="C646" s="75">
        <f t="shared" si="110"/>
        <v>898334.45999999985</v>
      </c>
      <c r="D646" s="75">
        <f t="shared" si="111"/>
        <v>879512.8899999999</v>
      </c>
      <c r="E646" s="75">
        <v>0</v>
      </c>
      <c r="F646" s="75">
        <v>0</v>
      </c>
      <c r="G646" s="75">
        <v>0</v>
      </c>
      <c r="H646" s="75">
        <v>291003.7</v>
      </c>
      <c r="I646" s="75">
        <v>588509.18999999994</v>
      </c>
      <c r="J646" s="152">
        <v>0</v>
      </c>
      <c r="K646" s="75">
        <v>0</v>
      </c>
      <c r="L646" s="75">
        <v>0</v>
      </c>
      <c r="M646" s="75">
        <v>0</v>
      </c>
      <c r="N646" s="75">
        <v>0</v>
      </c>
      <c r="O646" s="75">
        <v>0</v>
      </c>
      <c r="P646" s="75">
        <v>0</v>
      </c>
      <c r="Q646" s="75">
        <v>0</v>
      </c>
      <c r="R646" s="75">
        <v>18821.57</v>
      </c>
      <c r="S646" s="75">
        <v>0</v>
      </c>
      <c r="T646" s="75">
        <v>0</v>
      </c>
      <c r="U646" s="239"/>
      <c r="V646" s="239"/>
    </row>
    <row r="647" spans="1:35" s="186" customFormat="1" ht="22.5" customHeight="1" x14ac:dyDescent="0.25">
      <c r="A647" s="25">
        <v>5</v>
      </c>
      <c r="B647" s="37" t="s">
        <v>1255</v>
      </c>
      <c r="C647" s="75">
        <f t="shared" si="110"/>
        <v>10415854.960000001</v>
      </c>
      <c r="D647" s="75">
        <f t="shared" si="111"/>
        <v>9420474.8000000007</v>
      </c>
      <c r="E647" s="75">
        <v>0</v>
      </c>
      <c r="F647" s="75">
        <v>5895407</v>
      </c>
      <c r="G647" s="75">
        <v>0</v>
      </c>
      <c r="H647" s="75">
        <v>1187199</v>
      </c>
      <c r="I647" s="75">
        <v>2337868.7999999998</v>
      </c>
      <c r="J647" s="152">
        <v>0</v>
      </c>
      <c r="K647" s="75">
        <v>0</v>
      </c>
      <c r="L647" s="75">
        <v>0</v>
      </c>
      <c r="M647" s="75">
        <v>0</v>
      </c>
      <c r="N647" s="75">
        <v>0</v>
      </c>
      <c r="O647" s="75">
        <v>0</v>
      </c>
      <c r="P647" s="75">
        <f>265594+265594+265594</f>
        <v>796782</v>
      </c>
      <c r="Q647" s="75">
        <v>0</v>
      </c>
      <c r="R647" s="75">
        <f>50030.39+25406.06+123161.71</f>
        <v>198598.16</v>
      </c>
      <c r="S647" s="75">
        <v>0</v>
      </c>
      <c r="T647" s="75">
        <v>0</v>
      </c>
      <c r="U647" s="239"/>
      <c r="V647" s="239"/>
    </row>
    <row r="648" spans="1:35" s="186" customFormat="1" ht="22.5" customHeight="1" x14ac:dyDescent="0.25">
      <c r="A648" s="25">
        <v>6</v>
      </c>
      <c r="B648" s="37" t="s">
        <v>1256</v>
      </c>
      <c r="C648" s="75">
        <f t="shared" si="110"/>
        <v>700764</v>
      </c>
      <c r="D648" s="75">
        <f t="shared" si="111"/>
        <v>0</v>
      </c>
      <c r="E648" s="75">
        <v>0</v>
      </c>
      <c r="F648" s="75">
        <v>0</v>
      </c>
      <c r="G648" s="75">
        <v>0</v>
      </c>
      <c r="H648" s="75">
        <v>0</v>
      </c>
      <c r="I648" s="75">
        <v>0</v>
      </c>
      <c r="J648" s="152">
        <v>0</v>
      </c>
      <c r="K648" s="75">
        <v>0</v>
      </c>
      <c r="L648" s="75">
        <v>0</v>
      </c>
      <c r="M648" s="75">
        <v>0</v>
      </c>
      <c r="N648" s="75">
        <v>0</v>
      </c>
      <c r="O648" s="75">
        <v>0</v>
      </c>
      <c r="P648" s="75">
        <f>350382+350382</f>
        <v>700764</v>
      </c>
      <c r="Q648" s="75">
        <v>0</v>
      </c>
      <c r="R648" s="75">
        <v>0</v>
      </c>
      <c r="S648" s="75">
        <v>0</v>
      </c>
      <c r="T648" s="75">
        <v>0</v>
      </c>
      <c r="U648" s="239"/>
      <c r="V648" s="239"/>
    </row>
    <row r="649" spans="1:35" s="186" customFormat="1" ht="22.5" customHeight="1" x14ac:dyDescent="0.25">
      <c r="A649" s="25">
        <v>7</v>
      </c>
      <c r="B649" s="37" t="s">
        <v>1257</v>
      </c>
      <c r="C649" s="75">
        <f t="shared" si="110"/>
        <v>350382</v>
      </c>
      <c r="D649" s="75">
        <f t="shared" si="111"/>
        <v>0</v>
      </c>
      <c r="E649" s="75">
        <v>0</v>
      </c>
      <c r="F649" s="75">
        <v>0</v>
      </c>
      <c r="G649" s="75">
        <v>0</v>
      </c>
      <c r="H649" s="75">
        <v>0</v>
      </c>
      <c r="I649" s="75">
        <v>0</v>
      </c>
      <c r="J649" s="152">
        <v>0</v>
      </c>
      <c r="K649" s="75">
        <v>0</v>
      </c>
      <c r="L649" s="75">
        <v>0</v>
      </c>
      <c r="M649" s="75">
        <v>0</v>
      </c>
      <c r="N649" s="75">
        <v>0</v>
      </c>
      <c r="O649" s="75">
        <v>0</v>
      </c>
      <c r="P649" s="75">
        <v>350382</v>
      </c>
      <c r="Q649" s="75">
        <v>0</v>
      </c>
      <c r="R649" s="75">
        <v>0</v>
      </c>
      <c r="S649" s="75">
        <v>0</v>
      </c>
      <c r="T649" s="75">
        <v>0</v>
      </c>
      <c r="U649" s="239"/>
      <c r="V649" s="239"/>
    </row>
    <row r="650" spans="1:35" s="186" customFormat="1" ht="22.5" customHeight="1" x14ac:dyDescent="0.25">
      <c r="A650" s="25">
        <v>8</v>
      </c>
      <c r="B650" s="37" t="s">
        <v>1258</v>
      </c>
      <c r="C650" s="75">
        <f t="shared" si="110"/>
        <v>2801087.13</v>
      </c>
      <c r="D650" s="75">
        <f t="shared" si="111"/>
        <v>2482370.4</v>
      </c>
      <c r="E650" s="75">
        <v>0</v>
      </c>
      <c r="F650" s="75">
        <v>2482370.4</v>
      </c>
      <c r="G650" s="75">
        <v>0</v>
      </c>
      <c r="H650" s="75">
        <v>0</v>
      </c>
      <c r="I650" s="75">
        <v>0</v>
      </c>
      <c r="J650" s="152">
        <v>0</v>
      </c>
      <c r="K650" s="75">
        <v>0</v>
      </c>
      <c r="L650" s="75">
        <v>0</v>
      </c>
      <c r="M650" s="75">
        <v>0</v>
      </c>
      <c r="N650" s="75">
        <v>0</v>
      </c>
      <c r="O650" s="75">
        <v>0</v>
      </c>
      <c r="P650" s="75">
        <v>265594</v>
      </c>
      <c r="Q650" s="75">
        <v>0</v>
      </c>
      <c r="R650" s="75">
        <v>53122.73</v>
      </c>
      <c r="S650" s="75">
        <v>0</v>
      </c>
      <c r="T650" s="75">
        <v>0</v>
      </c>
      <c r="U650" s="239"/>
      <c r="V650" s="239"/>
    </row>
    <row r="651" spans="1:35" s="186" customFormat="1" ht="22.5" customHeight="1" x14ac:dyDescent="0.25">
      <c r="A651" s="25">
        <v>9</v>
      </c>
      <c r="B651" s="38" t="s">
        <v>348</v>
      </c>
      <c r="C651" s="75">
        <f t="shared" si="110"/>
        <v>2310819.59</v>
      </c>
      <c r="D651" s="75">
        <f t="shared" si="111"/>
        <v>2225088.96</v>
      </c>
      <c r="E651" s="87">
        <v>0</v>
      </c>
      <c r="F651" s="87">
        <v>1551769.06</v>
      </c>
      <c r="G651" s="87">
        <v>120168.1</v>
      </c>
      <c r="H651" s="87">
        <v>228507.43</v>
      </c>
      <c r="I651" s="87">
        <v>324644.37</v>
      </c>
      <c r="J651" s="152">
        <v>0</v>
      </c>
      <c r="K651" s="75">
        <v>0</v>
      </c>
      <c r="L651" s="75">
        <v>0</v>
      </c>
      <c r="M651" s="75">
        <v>0</v>
      </c>
      <c r="N651" s="75">
        <v>0</v>
      </c>
      <c r="O651" s="75">
        <v>0</v>
      </c>
      <c r="P651" s="87">
        <v>0</v>
      </c>
      <c r="Q651" s="75">
        <v>0</v>
      </c>
      <c r="R651" s="75">
        <f>64889.91+20840.72</f>
        <v>85730.63</v>
      </c>
      <c r="S651" s="75">
        <v>0</v>
      </c>
      <c r="T651" s="75">
        <v>0</v>
      </c>
      <c r="U651" s="254"/>
      <c r="V651" s="254"/>
    </row>
    <row r="652" spans="1:35" s="186" customFormat="1" ht="30.75" customHeight="1" x14ac:dyDescent="0.25">
      <c r="A652" s="322" t="s">
        <v>349</v>
      </c>
      <c r="B652" s="322"/>
      <c r="C652" s="118">
        <f t="shared" ref="C652:T652" si="112">SUM(C653:C656)</f>
        <v>24627490.689999998</v>
      </c>
      <c r="D652" s="118">
        <f t="shared" si="112"/>
        <v>0</v>
      </c>
      <c r="E652" s="118">
        <f t="shared" si="112"/>
        <v>0</v>
      </c>
      <c r="F652" s="118">
        <f t="shared" si="112"/>
        <v>0</v>
      </c>
      <c r="G652" s="118">
        <f t="shared" si="112"/>
        <v>0</v>
      </c>
      <c r="H652" s="118">
        <f t="shared" si="112"/>
        <v>0</v>
      </c>
      <c r="I652" s="118">
        <f t="shared" si="112"/>
        <v>0</v>
      </c>
      <c r="J652" s="119">
        <f t="shared" si="112"/>
        <v>0</v>
      </c>
      <c r="K652" s="118">
        <f t="shared" si="112"/>
        <v>0</v>
      </c>
      <c r="L652" s="118">
        <f t="shared" si="112"/>
        <v>0</v>
      </c>
      <c r="M652" s="118">
        <f t="shared" si="112"/>
        <v>0</v>
      </c>
      <c r="N652" s="118">
        <f t="shared" si="112"/>
        <v>23071387</v>
      </c>
      <c r="O652" s="118">
        <f t="shared" si="112"/>
        <v>0</v>
      </c>
      <c r="P652" s="118">
        <f t="shared" si="112"/>
        <v>1062376</v>
      </c>
      <c r="Q652" s="118">
        <f t="shared" si="112"/>
        <v>0</v>
      </c>
      <c r="R652" s="118">
        <f t="shared" si="112"/>
        <v>493727.69000000006</v>
      </c>
      <c r="S652" s="118">
        <f t="shared" si="112"/>
        <v>0</v>
      </c>
      <c r="T652" s="118">
        <f t="shared" si="112"/>
        <v>0</v>
      </c>
      <c r="U652" s="238"/>
      <c r="V652" s="238"/>
    </row>
    <row r="653" spans="1:35" s="186" customFormat="1" ht="22.5" customHeight="1" x14ac:dyDescent="0.25">
      <c r="A653" s="25">
        <v>1</v>
      </c>
      <c r="B653" s="37" t="s">
        <v>1259</v>
      </c>
      <c r="C653" s="75">
        <f t="shared" ref="C653:C656" si="113">D653+K653+L653+M653+N653+O653+P653+Q653+R653+S653+T653</f>
        <v>6697452.25</v>
      </c>
      <c r="D653" s="75">
        <f t="shared" ref="D653:D656" si="114">SUM(E653:I653)</f>
        <v>0</v>
      </c>
      <c r="E653" s="75">
        <v>0</v>
      </c>
      <c r="F653" s="75">
        <v>0</v>
      </c>
      <c r="G653" s="75">
        <v>0</v>
      </c>
      <c r="H653" s="75">
        <v>0</v>
      </c>
      <c r="I653" s="75">
        <v>0</v>
      </c>
      <c r="J653" s="152">
        <v>0</v>
      </c>
      <c r="K653" s="75">
        <v>0</v>
      </c>
      <c r="L653" s="75">
        <v>0</v>
      </c>
      <c r="M653" s="75">
        <v>0</v>
      </c>
      <c r="N653" s="75">
        <v>6297100.2999999998</v>
      </c>
      <c r="O653" s="75">
        <v>0</v>
      </c>
      <c r="P653" s="75">
        <v>265594</v>
      </c>
      <c r="Q653" s="75">
        <v>0</v>
      </c>
      <c r="R653" s="75">
        <v>134757.95000000001</v>
      </c>
      <c r="S653" s="75">
        <v>0</v>
      </c>
      <c r="T653" s="75">
        <v>0</v>
      </c>
      <c r="U653" s="238"/>
      <c r="V653" s="238"/>
    </row>
    <row r="654" spans="1:35" s="186" customFormat="1" ht="22.5" customHeight="1" x14ac:dyDescent="0.25">
      <c r="A654" s="25">
        <v>2</v>
      </c>
      <c r="B654" s="37" t="s">
        <v>1260</v>
      </c>
      <c r="C654" s="75">
        <f t="shared" si="113"/>
        <v>5407648.3499999996</v>
      </c>
      <c r="D654" s="75">
        <f t="shared" si="114"/>
        <v>0</v>
      </c>
      <c r="E654" s="75">
        <v>0</v>
      </c>
      <c r="F654" s="75">
        <v>0</v>
      </c>
      <c r="G654" s="75">
        <v>0</v>
      </c>
      <c r="H654" s="75">
        <v>0</v>
      </c>
      <c r="I654" s="75">
        <v>0</v>
      </c>
      <c r="J654" s="152">
        <v>0</v>
      </c>
      <c r="K654" s="75">
        <v>0</v>
      </c>
      <c r="L654" s="75">
        <v>0</v>
      </c>
      <c r="M654" s="75">
        <v>0</v>
      </c>
      <c r="N654" s="75">
        <v>5034319.8999999994</v>
      </c>
      <c r="O654" s="75">
        <v>0</v>
      </c>
      <c r="P654" s="87">
        <v>265594</v>
      </c>
      <c r="Q654" s="75">
        <v>0</v>
      </c>
      <c r="R654" s="75">
        <v>107734.45</v>
      </c>
      <c r="S654" s="75">
        <v>0</v>
      </c>
      <c r="T654" s="75">
        <v>0</v>
      </c>
      <c r="U654" s="239"/>
      <c r="V654" s="239"/>
    </row>
    <row r="655" spans="1:35" s="186" customFormat="1" ht="22.5" customHeight="1" x14ac:dyDescent="0.25">
      <c r="A655" s="25">
        <v>3</v>
      </c>
      <c r="B655" s="37" t="s">
        <v>1261</v>
      </c>
      <c r="C655" s="75">
        <f t="shared" si="113"/>
        <v>7030741.9100000001</v>
      </c>
      <c r="D655" s="75">
        <f t="shared" si="114"/>
        <v>0</v>
      </c>
      <c r="E655" s="75">
        <v>0</v>
      </c>
      <c r="F655" s="75">
        <v>0</v>
      </c>
      <c r="G655" s="75">
        <v>0</v>
      </c>
      <c r="H655" s="75">
        <v>0</v>
      </c>
      <c r="I655" s="75">
        <v>0</v>
      </c>
      <c r="J655" s="152">
        <v>0</v>
      </c>
      <c r="K655" s="75">
        <v>0</v>
      </c>
      <c r="L655" s="75">
        <v>0</v>
      </c>
      <c r="M655" s="75">
        <v>0</v>
      </c>
      <c r="N655" s="75">
        <v>6623407</v>
      </c>
      <c r="O655" s="75">
        <v>0</v>
      </c>
      <c r="P655" s="75">
        <v>265594</v>
      </c>
      <c r="Q655" s="75">
        <v>0</v>
      </c>
      <c r="R655" s="75">
        <v>141740.91</v>
      </c>
      <c r="S655" s="75">
        <v>0</v>
      </c>
      <c r="T655" s="75">
        <v>0</v>
      </c>
      <c r="U655" s="239"/>
      <c r="V655" s="239"/>
    </row>
    <row r="656" spans="1:35" s="186" customFormat="1" ht="22.5" customHeight="1" x14ac:dyDescent="0.25">
      <c r="A656" s="25">
        <v>4</v>
      </c>
      <c r="B656" s="37" t="s">
        <v>1262</v>
      </c>
      <c r="C656" s="75">
        <f t="shared" si="113"/>
        <v>5491648.1799999997</v>
      </c>
      <c r="D656" s="75">
        <f t="shared" si="114"/>
        <v>0</v>
      </c>
      <c r="E656" s="75">
        <v>0</v>
      </c>
      <c r="F656" s="75">
        <v>0</v>
      </c>
      <c r="G656" s="75">
        <v>0</v>
      </c>
      <c r="H656" s="75">
        <v>0</v>
      </c>
      <c r="I656" s="75">
        <v>0</v>
      </c>
      <c r="J656" s="152">
        <v>0</v>
      </c>
      <c r="K656" s="75">
        <v>0</v>
      </c>
      <c r="L656" s="75">
        <v>0</v>
      </c>
      <c r="M656" s="75">
        <v>0</v>
      </c>
      <c r="N656" s="75">
        <v>5116559.8</v>
      </c>
      <c r="O656" s="75">
        <v>0</v>
      </c>
      <c r="P656" s="87">
        <v>265594</v>
      </c>
      <c r="Q656" s="75">
        <v>0</v>
      </c>
      <c r="R656" s="75">
        <v>109494.38</v>
      </c>
      <c r="S656" s="75">
        <v>0</v>
      </c>
      <c r="T656" s="75">
        <v>0</v>
      </c>
      <c r="U656" s="239"/>
      <c r="V656" s="239"/>
    </row>
    <row r="657" spans="1:35" s="186" customFormat="1" ht="22.5" customHeight="1" x14ac:dyDescent="0.25">
      <c r="A657" s="322" t="s">
        <v>351</v>
      </c>
      <c r="B657" s="322"/>
      <c r="C657" s="118">
        <f t="shared" ref="C657:T657" si="115">SUM(C658:C663)</f>
        <v>49733577.299999997</v>
      </c>
      <c r="D657" s="118">
        <f t="shared" si="115"/>
        <v>23126875.380000003</v>
      </c>
      <c r="E657" s="118">
        <f t="shared" si="115"/>
        <v>669285.4</v>
      </c>
      <c r="F657" s="118">
        <f t="shared" si="115"/>
        <v>18231998.780000001</v>
      </c>
      <c r="G657" s="118">
        <f t="shared" si="115"/>
        <v>3379614.1</v>
      </c>
      <c r="H657" s="118">
        <f t="shared" si="115"/>
        <v>845977.10000000009</v>
      </c>
      <c r="I657" s="118">
        <f t="shared" si="115"/>
        <v>0</v>
      </c>
      <c r="J657" s="119">
        <f t="shared" si="115"/>
        <v>0</v>
      </c>
      <c r="K657" s="118">
        <f t="shared" si="115"/>
        <v>0</v>
      </c>
      <c r="L657" s="118">
        <f t="shared" si="115"/>
        <v>24407273</v>
      </c>
      <c r="M657" s="118">
        <f t="shared" si="115"/>
        <v>0</v>
      </c>
      <c r="N657" s="118">
        <f t="shared" si="115"/>
        <v>0</v>
      </c>
      <c r="O657" s="118">
        <f t="shared" si="115"/>
        <v>0</v>
      </c>
      <c r="P657" s="118">
        <f t="shared" si="115"/>
        <v>1147164</v>
      </c>
      <c r="Q657" s="118">
        <f t="shared" si="115"/>
        <v>0</v>
      </c>
      <c r="R657" s="118">
        <f t="shared" si="115"/>
        <v>1052264.92</v>
      </c>
      <c r="S657" s="118">
        <f t="shared" si="115"/>
        <v>0</v>
      </c>
      <c r="T657" s="118">
        <f t="shared" si="115"/>
        <v>0</v>
      </c>
      <c r="U657" s="252"/>
      <c r="V657" s="252"/>
    </row>
    <row r="658" spans="1:35" s="186" customFormat="1" ht="22.5" customHeight="1" x14ac:dyDescent="0.25">
      <c r="A658" s="25">
        <v>1</v>
      </c>
      <c r="B658" s="69" t="s">
        <v>1263</v>
      </c>
      <c r="C658" s="75">
        <f t="shared" ref="C658:C663" si="116">D658+K658+L658+M658+N658+O658+P658+Q658+R658+S658+T658</f>
        <v>1214796.1099999999</v>
      </c>
      <c r="D658" s="75">
        <f t="shared" ref="D658:D663" si="117">SUM(E658:I658)</f>
        <v>669285.4</v>
      </c>
      <c r="E658" s="87">
        <v>669285.4</v>
      </c>
      <c r="F658" s="87">
        <v>0</v>
      </c>
      <c r="G658" s="87">
        <v>0</v>
      </c>
      <c r="H658" s="87">
        <v>0</v>
      </c>
      <c r="I658" s="75">
        <v>0</v>
      </c>
      <c r="J658" s="152">
        <v>0</v>
      </c>
      <c r="K658" s="75">
        <v>0</v>
      </c>
      <c r="L658" s="75">
        <v>0</v>
      </c>
      <c r="M658" s="75">
        <v>0</v>
      </c>
      <c r="N658" s="75">
        <v>0</v>
      </c>
      <c r="O658" s="75">
        <v>0</v>
      </c>
      <c r="P658" s="87">
        <f>265594+265594</f>
        <v>531188</v>
      </c>
      <c r="Q658" s="75">
        <v>0</v>
      </c>
      <c r="R658" s="75">
        <v>14322.71</v>
      </c>
      <c r="S658" s="75">
        <v>0</v>
      </c>
      <c r="T658" s="75">
        <v>0</v>
      </c>
      <c r="U658" s="253"/>
      <c r="V658" s="253"/>
    </row>
    <row r="659" spans="1:35" s="186" customFormat="1" ht="22.5" customHeight="1" x14ac:dyDescent="0.25">
      <c r="A659" s="25">
        <v>2</v>
      </c>
      <c r="B659" s="69" t="s">
        <v>663</v>
      </c>
      <c r="C659" s="75">
        <f t="shared" si="116"/>
        <v>24929588.640000001</v>
      </c>
      <c r="D659" s="75">
        <f t="shared" si="117"/>
        <v>0</v>
      </c>
      <c r="E659" s="87">
        <v>0</v>
      </c>
      <c r="F659" s="87">
        <v>0</v>
      </c>
      <c r="G659" s="87">
        <v>0</v>
      </c>
      <c r="H659" s="87">
        <v>0</v>
      </c>
      <c r="I659" s="75">
        <v>0</v>
      </c>
      <c r="J659" s="152">
        <v>0</v>
      </c>
      <c r="K659" s="75">
        <v>0</v>
      </c>
      <c r="L659" s="75">
        <v>24407273</v>
      </c>
      <c r="M659" s="75">
        <v>0</v>
      </c>
      <c r="N659" s="75">
        <v>0</v>
      </c>
      <c r="O659" s="75">
        <v>0</v>
      </c>
      <c r="P659" s="87">
        <v>0</v>
      </c>
      <c r="Q659" s="75">
        <v>0</v>
      </c>
      <c r="R659" s="75">
        <v>522315.64</v>
      </c>
      <c r="S659" s="75">
        <v>0</v>
      </c>
      <c r="T659" s="75">
        <v>0</v>
      </c>
      <c r="U659" s="253"/>
      <c r="V659" s="253"/>
    </row>
    <row r="660" spans="1:35" s="186" customFormat="1" ht="22.5" customHeight="1" x14ac:dyDescent="0.25">
      <c r="A660" s="25">
        <v>3</v>
      </c>
      <c r="B660" s="69" t="s">
        <v>354</v>
      </c>
      <c r="C660" s="75">
        <f t="shared" si="116"/>
        <v>6394852.0100000007</v>
      </c>
      <c r="D660" s="75">
        <f t="shared" si="117"/>
        <v>6226569.2800000003</v>
      </c>
      <c r="E660" s="87">
        <v>0</v>
      </c>
      <c r="F660" s="87">
        <v>6226569.2800000003</v>
      </c>
      <c r="G660" s="87">
        <v>0</v>
      </c>
      <c r="H660" s="87">
        <v>0</v>
      </c>
      <c r="I660" s="75">
        <v>0</v>
      </c>
      <c r="J660" s="152">
        <v>0</v>
      </c>
      <c r="K660" s="75">
        <v>0</v>
      </c>
      <c r="L660" s="75">
        <v>0</v>
      </c>
      <c r="M660" s="75">
        <v>0</v>
      </c>
      <c r="N660" s="75">
        <v>0</v>
      </c>
      <c r="O660" s="75">
        <v>0</v>
      </c>
      <c r="P660" s="87">
        <v>0</v>
      </c>
      <c r="Q660" s="75">
        <v>0</v>
      </c>
      <c r="R660" s="75">
        <v>168282.73</v>
      </c>
      <c r="S660" s="75">
        <v>0</v>
      </c>
      <c r="T660" s="75">
        <v>0</v>
      </c>
      <c r="U660" s="253"/>
      <c r="V660" s="253"/>
    </row>
    <row r="661" spans="1:35" s="186" customFormat="1" ht="22.5" customHeight="1" x14ac:dyDescent="0.25">
      <c r="A661" s="25">
        <v>4</v>
      </c>
      <c r="B661" s="69" t="s">
        <v>356</v>
      </c>
      <c r="C661" s="75">
        <f t="shared" si="116"/>
        <v>2155053.39</v>
      </c>
      <c r="D661" s="75">
        <f t="shared" si="117"/>
        <v>2109901.5</v>
      </c>
      <c r="E661" s="87">
        <v>0</v>
      </c>
      <c r="F661" s="87">
        <v>2109901.5</v>
      </c>
      <c r="G661" s="87">
        <v>0</v>
      </c>
      <c r="H661" s="87">
        <v>0</v>
      </c>
      <c r="I661" s="75">
        <v>0</v>
      </c>
      <c r="J661" s="152">
        <v>0</v>
      </c>
      <c r="K661" s="75">
        <v>0</v>
      </c>
      <c r="L661" s="75">
        <v>0</v>
      </c>
      <c r="M661" s="75">
        <v>0</v>
      </c>
      <c r="N661" s="75">
        <v>0</v>
      </c>
      <c r="O661" s="75">
        <v>0</v>
      </c>
      <c r="P661" s="87">
        <v>0</v>
      </c>
      <c r="Q661" s="75">
        <v>0</v>
      </c>
      <c r="R661" s="75">
        <v>45151.89</v>
      </c>
      <c r="S661" s="75">
        <v>0</v>
      </c>
      <c r="T661" s="75">
        <v>0</v>
      </c>
      <c r="U661" s="253"/>
      <c r="V661" s="253"/>
    </row>
    <row r="662" spans="1:35" s="186" customFormat="1" ht="22.5" customHeight="1" x14ac:dyDescent="0.25">
      <c r="A662" s="25">
        <v>5</v>
      </c>
      <c r="B662" s="69" t="s">
        <v>1264</v>
      </c>
      <c r="C662" s="75">
        <f t="shared" si="116"/>
        <v>2153151.21</v>
      </c>
      <c r="D662" s="75">
        <f t="shared" si="117"/>
        <v>1848009.8</v>
      </c>
      <c r="E662" s="87">
        <v>0</v>
      </c>
      <c r="F662" s="87">
        <v>1848009.8</v>
      </c>
      <c r="G662" s="87">
        <v>0</v>
      </c>
      <c r="H662" s="87">
        <v>0</v>
      </c>
      <c r="I662" s="75">
        <v>0</v>
      </c>
      <c r="J662" s="152">
        <v>0</v>
      </c>
      <c r="K662" s="75">
        <v>0</v>
      </c>
      <c r="L662" s="75">
        <v>0</v>
      </c>
      <c r="M662" s="75">
        <v>0</v>
      </c>
      <c r="N662" s="75">
        <v>0</v>
      </c>
      <c r="O662" s="75">
        <v>0</v>
      </c>
      <c r="P662" s="87">
        <v>265594</v>
      </c>
      <c r="Q662" s="75">
        <v>0</v>
      </c>
      <c r="R662" s="75">
        <v>39547.410000000003</v>
      </c>
      <c r="S662" s="75">
        <v>0</v>
      </c>
      <c r="T662" s="75">
        <v>0</v>
      </c>
      <c r="U662" s="253"/>
      <c r="V662" s="253"/>
    </row>
    <row r="663" spans="1:35" s="186" customFormat="1" ht="22.5" customHeight="1" x14ac:dyDescent="0.25">
      <c r="A663" s="25">
        <v>6</v>
      </c>
      <c r="B663" s="37" t="s">
        <v>1265</v>
      </c>
      <c r="C663" s="75">
        <f t="shared" si="116"/>
        <v>12886135.939999999</v>
      </c>
      <c r="D663" s="75">
        <f t="shared" si="117"/>
        <v>12273109.4</v>
      </c>
      <c r="E663" s="87">
        <v>0</v>
      </c>
      <c r="F663" s="87">
        <v>8047518.2000000002</v>
      </c>
      <c r="G663" s="87">
        <v>3379614.1</v>
      </c>
      <c r="H663" s="87">
        <v>845977.10000000009</v>
      </c>
      <c r="I663" s="75">
        <v>0</v>
      </c>
      <c r="J663" s="152">
        <v>0</v>
      </c>
      <c r="K663" s="75">
        <v>0</v>
      </c>
      <c r="L663" s="75">
        <v>0</v>
      </c>
      <c r="M663" s="75">
        <v>0</v>
      </c>
      <c r="N663" s="75">
        <v>0</v>
      </c>
      <c r="O663" s="75">
        <v>0</v>
      </c>
      <c r="P663" s="87">
        <v>350382</v>
      </c>
      <c r="Q663" s="75">
        <v>0</v>
      </c>
      <c r="R663" s="75">
        <f>172216.89+72323.74+18103.91</f>
        <v>262644.53999999998</v>
      </c>
      <c r="S663" s="75">
        <v>0</v>
      </c>
      <c r="T663" s="75">
        <v>0</v>
      </c>
      <c r="U663" s="253"/>
      <c r="V663" s="253"/>
      <c r="W663" s="40"/>
      <c r="X663" s="40"/>
      <c r="Y663" s="40"/>
      <c r="Z663" s="40"/>
      <c r="AA663" s="40"/>
      <c r="AB663" s="40"/>
      <c r="AC663" s="40"/>
      <c r="AD663" s="40"/>
      <c r="AE663" s="40"/>
      <c r="AF663" s="40"/>
      <c r="AG663" s="40"/>
      <c r="AH663" s="40"/>
      <c r="AI663" s="40"/>
    </row>
    <row r="664" spans="1:35" s="186" customFormat="1" ht="22.5" customHeight="1" x14ac:dyDescent="0.25">
      <c r="A664" s="322" t="s">
        <v>360</v>
      </c>
      <c r="B664" s="322"/>
      <c r="C664" s="118">
        <f t="shared" ref="C664:T664" si="118">SUM(C665:C667)</f>
        <v>15570337.899999999</v>
      </c>
      <c r="D664" s="118">
        <f t="shared" si="118"/>
        <v>9473645.1999999993</v>
      </c>
      <c r="E664" s="118">
        <f t="shared" si="118"/>
        <v>6201353.2000000002</v>
      </c>
      <c r="F664" s="118">
        <f t="shared" si="118"/>
        <v>0</v>
      </c>
      <c r="G664" s="118">
        <f t="shared" si="118"/>
        <v>2617168.5</v>
      </c>
      <c r="H664" s="118">
        <f t="shared" si="118"/>
        <v>655123.5</v>
      </c>
      <c r="I664" s="118">
        <f t="shared" si="118"/>
        <v>0</v>
      </c>
      <c r="J664" s="118">
        <f t="shared" si="118"/>
        <v>0</v>
      </c>
      <c r="K664" s="118">
        <f t="shared" si="118"/>
        <v>0</v>
      </c>
      <c r="L664" s="118">
        <f t="shared" si="118"/>
        <v>3701228.4</v>
      </c>
      <c r="M664" s="118">
        <f t="shared" si="118"/>
        <v>0</v>
      </c>
      <c r="N664" s="118">
        <f t="shared" si="118"/>
        <v>0</v>
      </c>
      <c r="O664" s="118">
        <f t="shared" si="118"/>
        <v>0</v>
      </c>
      <c r="P664" s="118">
        <f t="shared" si="118"/>
        <v>2113522</v>
      </c>
      <c r="Q664" s="118">
        <f t="shared" si="118"/>
        <v>0</v>
      </c>
      <c r="R664" s="118">
        <f t="shared" si="118"/>
        <v>281942.3</v>
      </c>
      <c r="S664" s="118">
        <f t="shared" si="118"/>
        <v>0</v>
      </c>
      <c r="T664" s="118">
        <f t="shared" si="118"/>
        <v>0</v>
      </c>
      <c r="U664" s="252"/>
      <c r="V664" s="252"/>
    </row>
    <row r="665" spans="1:35" s="186" customFormat="1" ht="22.5" customHeight="1" x14ac:dyDescent="0.25">
      <c r="A665" s="25">
        <v>1</v>
      </c>
      <c r="B665" s="37" t="s">
        <v>1266</v>
      </c>
      <c r="C665" s="75">
        <f t="shared" ref="C665:C667" si="119">D665+K665+L665+M665+N665+O665+P665+Q665+R665+S665+T665</f>
        <v>9600553.5700000003</v>
      </c>
      <c r="D665" s="75">
        <f t="shared" ref="D665:D667" si="120">SUM(E665:I665)</f>
        <v>8370283.5</v>
      </c>
      <c r="E665" s="75">
        <v>5097991.5</v>
      </c>
      <c r="F665" s="75">
        <v>0</v>
      </c>
      <c r="G665" s="75">
        <v>2617168.5</v>
      </c>
      <c r="H665" s="75">
        <v>655123.5</v>
      </c>
      <c r="I665" s="75">
        <v>0</v>
      </c>
      <c r="J665" s="152">
        <v>0</v>
      </c>
      <c r="K665" s="75">
        <v>0</v>
      </c>
      <c r="L665" s="87">
        <v>0</v>
      </c>
      <c r="M665" s="75">
        <v>0</v>
      </c>
      <c r="N665" s="75">
        <v>0</v>
      </c>
      <c r="O665" s="75">
        <v>0</v>
      </c>
      <c r="P665" s="87">
        <f>350382+350382+350382</f>
        <v>1051146</v>
      </c>
      <c r="Q665" s="75">
        <v>0</v>
      </c>
      <c r="R665" s="75">
        <f>109097.02+56007.41+14019.64</f>
        <v>179124.07</v>
      </c>
      <c r="S665" s="75">
        <v>0</v>
      </c>
      <c r="T665" s="75">
        <v>0</v>
      </c>
      <c r="U665" s="253"/>
      <c r="V665" s="253"/>
    </row>
    <row r="666" spans="1:35" s="186" customFormat="1" ht="22.5" customHeight="1" x14ac:dyDescent="0.25">
      <c r="A666" s="25">
        <v>2</v>
      </c>
      <c r="B666" s="37" t="s">
        <v>1267</v>
      </c>
      <c r="C666" s="75">
        <f t="shared" si="119"/>
        <v>1091432.03</v>
      </c>
      <c r="D666" s="75">
        <f t="shared" si="120"/>
        <v>548506</v>
      </c>
      <c r="E666" s="75">
        <v>548506</v>
      </c>
      <c r="F666" s="87">
        <v>0</v>
      </c>
      <c r="G666" s="75">
        <v>0</v>
      </c>
      <c r="H666" s="87">
        <v>0</v>
      </c>
      <c r="I666" s="87">
        <v>0</v>
      </c>
      <c r="J666" s="152">
        <v>0</v>
      </c>
      <c r="K666" s="75">
        <v>0</v>
      </c>
      <c r="L666" s="87">
        <v>0</v>
      </c>
      <c r="M666" s="75">
        <v>0</v>
      </c>
      <c r="N666" s="75">
        <v>0</v>
      </c>
      <c r="O666" s="75">
        <v>0</v>
      </c>
      <c r="P666" s="87">
        <f t="shared" ref="P666:P667" si="121">265594+265594</f>
        <v>531188</v>
      </c>
      <c r="Q666" s="75">
        <v>0</v>
      </c>
      <c r="R666" s="75">
        <v>11738.03</v>
      </c>
      <c r="S666" s="75">
        <v>0</v>
      </c>
      <c r="T666" s="75">
        <v>0</v>
      </c>
      <c r="U666" s="253"/>
      <c r="V666" s="253"/>
    </row>
    <row r="667" spans="1:35" s="186" customFormat="1" ht="22.5" customHeight="1" x14ac:dyDescent="0.25">
      <c r="A667" s="25">
        <v>3</v>
      </c>
      <c r="B667" s="37" t="s">
        <v>1268</v>
      </c>
      <c r="C667" s="75">
        <f t="shared" si="119"/>
        <v>4878352.3</v>
      </c>
      <c r="D667" s="75">
        <f t="shared" si="120"/>
        <v>554855.69999999995</v>
      </c>
      <c r="E667" s="75">
        <v>554855.69999999995</v>
      </c>
      <c r="F667" s="87">
        <v>0</v>
      </c>
      <c r="G667" s="75">
        <v>0</v>
      </c>
      <c r="H667" s="87">
        <v>0</v>
      </c>
      <c r="I667" s="87">
        <v>0</v>
      </c>
      <c r="J667" s="152">
        <v>0</v>
      </c>
      <c r="K667" s="75">
        <v>0</v>
      </c>
      <c r="L667" s="87">
        <v>3701228.4</v>
      </c>
      <c r="M667" s="75">
        <v>0</v>
      </c>
      <c r="N667" s="75">
        <v>0</v>
      </c>
      <c r="O667" s="75">
        <v>0</v>
      </c>
      <c r="P667" s="87">
        <f t="shared" si="121"/>
        <v>531188</v>
      </c>
      <c r="Q667" s="75">
        <v>0</v>
      </c>
      <c r="R667" s="75">
        <f>11873.91+79206.29</f>
        <v>91080.2</v>
      </c>
      <c r="S667" s="75">
        <v>0</v>
      </c>
      <c r="T667" s="75">
        <v>0</v>
      </c>
      <c r="U667" s="253"/>
      <c r="V667" s="253"/>
    </row>
    <row r="668" spans="1:35" s="186" customFormat="1" ht="22.5" customHeight="1" x14ac:dyDescent="0.25">
      <c r="A668" s="326" t="s">
        <v>666</v>
      </c>
      <c r="B668" s="326"/>
      <c r="C668" s="118">
        <f t="shared" ref="C668:T668" si="122">SUM(C669:C670)</f>
        <v>1522073.68</v>
      </c>
      <c r="D668" s="118">
        <f t="shared" si="122"/>
        <v>970125</v>
      </c>
      <c r="E668" s="118">
        <f t="shared" si="122"/>
        <v>0</v>
      </c>
      <c r="F668" s="118">
        <f t="shared" si="122"/>
        <v>0</v>
      </c>
      <c r="G668" s="118">
        <f t="shared" si="122"/>
        <v>0</v>
      </c>
      <c r="H668" s="118">
        <f t="shared" si="122"/>
        <v>970125</v>
      </c>
      <c r="I668" s="118">
        <f t="shared" si="122"/>
        <v>0</v>
      </c>
      <c r="J668" s="119">
        <f t="shared" si="122"/>
        <v>0</v>
      </c>
      <c r="K668" s="118">
        <f t="shared" si="122"/>
        <v>0</v>
      </c>
      <c r="L668" s="118">
        <f t="shared" si="122"/>
        <v>0</v>
      </c>
      <c r="M668" s="118">
        <f t="shared" si="122"/>
        <v>0</v>
      </c>
      <c r="N668" s="118">
        <f t="shared" si="122"/>
        <v>0</v>
      </c>
      <c r="O668" s="118">
        <f t="shared" si="122"/>
        <v>0</v>
      </c>
      <c r="P668" s="118">
        <f t="shared" si="122"/>
        <v>531188</v>
      </c>
      <c r="Q668" s="118">
        <f t="shared" si="122"/>
        <v>0</v>
      </c>
      <c r="R668" s="118">
        <f t="shared" si="122"/>
        <v>20760.68</v>
      </c>
      <c r="S668" s="118">
        <f t="shared" si="122"/>
        <v>0</v>
      </c>
      <c r="T668" s="118">
        <f t="shared" si="122"/>
        <v>0</v>
      </c>
      <c r="U668" s="238"/>
      <c r="V668" s="238"/>
    </row>
    <row r="669" spans="1:35" s="186" customFormat="1" ht="22.5" customHeight="1" x14ac:dyDescent="0.25">
      <c r="A669" s="25">
        <v>1</v>
      </c>
      <c r="B669" s="26" t="s">
        <v>1269</v>
      </c>
      <c r="C669" s="75">
        <f t="shared" ref="C669:C670" si="123">D669+K669+L669+M669+N669+O669+P669+Q669+R669+S669+T669</f>
        <v>841431.03</v>
      </c>
      <c r="D669" s="75">
        <f t="shared" ref="D669:D670" si="124">SUM(E669:I669)</f>
        <v>563772.30000000005</v>
      </c>
      <c r="E669" s="87">
        <v>0</v>
      </c>
      <c r="F669" s="75">
        <v>0</v>
      </c>
      <c r="G669" s="75">
        <v>0</v>
      </c>
      <c r="H669" s="87">
        <v>563772.30000000005</v>
      </c>
      <c r="I669" s="87">
        <v>0</v>
      </c>
      <c r="J669" s="240">
        <v>0</v>
      </c>
      <c r="K669" s="87">
        <v>0</v>
      </c>
      <c r="L669" s="87">
        <v>0</v>
      </c>
      <c r="M669" s="87">
        <v>0</v>
      </c>
      <c r="N669" s="87">
        <v>0</v>
      </c>
      <c r="O669" s="87">
        <v>0</v>
      </c>
      <c r="P669" s="87">
        <v>265594</v>
      </c>
      <c r="Q669" s="87">
        <v>0</v>
      </c>
      <c r="R669" s="87">
        <v>12064.73</v>
      </c>
      <c r="S669" s="87">
        <v>0</v>
      </c>
      <c r="T669" s="87">
        <v>0</v>
      </c>
      <c r="U669" s="238"/>
      <c r="V669" s="238"/>
    </row>
    <row r="670" spans="1:35" s="186" customFormat="1" ht="22.5" customHeight="1" x14ac:dyDescent="0.25">
      <c r="A670" s="25">
        <v>2</v>
      </c>
      <c r="B670" s="26" t="s">
        <v>1270</v>
      </c>
      <c r="C670" s="75">
        <f t="shared" si="123"/>
        <v>680642.64999999991</v>
      </c>
      <c r="D670" s="75">
        <f t="shared" si="124"/>
        <v>406352.7</v>
      </c>
      <c r="E670" s="75">
        <v>0</v>
      </c>
      <c r="F670" s="87">
        <v>0</v>
      </c>
      <c r="G670" s="75">
        <v>0</v>
      </c>
      <c r="H670" s="87">
        <v>406352.7</v>
      </c>
      <c r="I670" s="75">
        <v>0</v>
      </c>
      <c r="J670" s="152">
        <v>0</v>
      </c>
      <c r="K670" s="75">
        <v>0</v>
      </c>
      <c r="L670" s="75">
        <v>0</v>
      </c>
      <c r="M670" s="75">
        <v>0</v>
      </c>
      <c r="N670" s="75">
        <v>0</v>
      </c>
      <c r="O670" s="75">
        <v>0</v>
      </c>
      <c r="P670" s="75">
        <v>265594</v>
      </c>
      <c r="Q670" s="75">
        <v>0</v>
      </c>
      <c r="R670" s="75">
        <v>8695.9500000000007</v>
      </c>
      <c r="S670" s="75">
        <v>0</v>
      </c>
      <c r="T670" s="75">
        <v>0</v>
      </c>
      <c r="U670" s="238"/>
      <c r="V670" s="238"/>
    </row>
    <row r="671" spans="1:35" s="186" customFormat="1" ht="22.5" customHeight="1" x14ac:dyDescent="0.25">
      <c r="A671" s="326" t="s">
        <v>363</v>
      </c>
      <c r="B671" s="326"/>
      <c r="C671" s="118">
        <f t="shared" ref="C671:T671" si="125">SUM(C672:C686)</f>
        <v>144194620.63999999</v>
      </c>
      <c r="D671" s="118">
        <f t="shared" si="125"/>
        <v>21171894.27</v>
      </c>
      <c r="E671" s="118">
        <f t="shared" si="125"/>
        <v>19876790.030000001</v>
      </c>
      <c r="F671" s="118">
        <f t="shared" si="125"/>
        <v>0</v>
      </c>
      <c r="G671" s="118">
        <f t="shared" si="125"/>
        <v>0</v>
      </c>
      <c r="H671" s="118">
        <f t="shared" si="125"/>
        <v>0</v>
      </c>
      <c r="I671" s="118">
        <f t="shared" si="125"/>
        <v>1295104.24</v>
      </c>
      <c r="J671" s="119">
        <f t="shared" si="125"/>
        <v>0</v>
      </c>
      <c r="K671" s="118">
        <f t="shared" si="125"/>
        <v>0</v>
      </c>
      <c r="L671" s="118">
        <f t="shared" si="125"/>
        <v>100035874.63</v>
      </c>
      <c r="M671" s="118">
        <f t="shared" si="125"/>
        <v>0</v>
      </c>
      <c r="N671" s="118">
        <f t="shared" si="125"/>
        <v>10686052.359999999</v>
      </c>
      <c r="O671" s="118">
        <f t="shared" si="125"/>
        <v>0</v>
      </c>
      <c r="P671" s="118">
        <f t="shared" si="125"/>
        <v>9460314</v>
      </c>
      <c r="Q671" s="118">
        <f t="shared" si="125"/>
        <v>0</v>
      </c>
      <c r="R671" s="118">
        <f t="shared" si="125"/>
        <v>2840485.3800000004</v>
      </c>
      <c r="S671" s="118">
        <f t="shared" si="125"/>
        <v>0</v>
      </c>
      <c r="T671" s="118">
        <f t="shared" si="125"/>
        <v>0</v>
      </c>
      <c r="U671" s="238"/>
      <c r="V671" s="238"/>
    </row>
    <row r="672" spans="1:35" s="186" customFormat="1" ht="22.5" customHeight="1" x14ac:dyDescent="0.25">
      <c r="A672" s="25">
        <v>1</v>
      </c>
      <c r="B672" s="37" t="s">
        <v>364</v>
      </c>
      <c r="C672" s="75">
        <f t="shared" ref="C672:C686" si="126">D672+K672+L672+M672+N672+O672+P672+Q672+R672+S672+T672</f>
        <v>10914733.879999999</v>
      </c>
      <c r="D672" s="75">
        <f t="shared" ref="D672:D686" si="127">SUM(E672:I672)</f>
        <v>0</v>
      </c>
      <c r="E672" s="75">
        <v>0</v>
      </c>
      <c r="F672" s="87">
        <v>0</v>
      </c>
      <c r="G672" s="75">
        <v>0</v>
      </c>
      <c r="H672" s="75">
        <v>0</v>
      </c>
      <c r="I672" s="75">
        <v>0</v>
      </c>
      <c r="J672" s="152">
        <v>0</v>
      </c>
      <c r="K672" s="75">
        <v>0</v>
      </c>
      <c r="L672" s="75">
        <v>0</v>
      </c>
      <c r="M672" s="75">
        <v>0</v>
      </c>
      <c r="N672" s="75">
        <v>10686052.359999999</v>
      </c>
      <c r="O672" s="87">
        <v>0</v>
      </c>
      <c r="P672" s="75">
        <v>0</v>
      </c>
      <c r="Q672" s="75">
        <v>0</v>
      </c>
      <c r="R672" s="75">
        <v>228681.52</v>
      </c>
      <c r="S672" s="75">
        <v>0</v>
      </c>
      <c r="T672" s="75">
        <v>0</v>
      </c>
      <c r="U672" s="238"/>
      <c r="V672" s="238"/>
    </row>
    <row r="673" spans="1:39" s="186" customFormat="1" ht="22.5" customHeight="1" x14ac:dyDescent="0.25">
      <c r="A673" s="25">
        <v>2</v>
      </c>
      <c r="B673" s="37" t="s">
        <v>1271</v>
      </c>
      <c r="C673" s="75">
        <f t="shared" si="126"/>
        <v>1257324.23</v>
      </c>
      <c r="D673" s="75">
        <f t="shared" si="127"/>
        <v>887940.31</v>
      </c>
      <c r="E673" s="75">
        <v>0</v>
      </c>
      <c r="F673" s="87">
        <v>0</v>
      </c>
      <c r="G673" s="75">
        <v>0</v>
      </c>
      <c r="H673" s="75">
        <v>0</v>
      </c>
      <c r="I673" s="75">
        <v>887940.31</v>
      </c>
      <c r="J673" s="152">
        <v>0</v>
      </c>
      <c r="K673" s="75">
        <v>0</v>
      </c>
      <c r="L673" s="75">
        <v>0</v>
      </c>
      <c r="M673" s="75">
        <v>0</v>
      </c>
      <c r="N673" s="75">
        <v>0</v>
      </c>
      <c r="O673" s="87">
        <v>0</v>
      </c>
      <c r="P673" s="75">
        <v>350382</v>
      </c>
      <c r="Q673" s="75">
        <v>0</v>
      </c>
      <c r="R673" s="75">
        <v>19001.919999999998</v>
      </c>
      <c r="S673" s="75">
        <v>0</v>
      </c>
      <c r="T673" s="75">
        <v>0</v>
      </c>
      <c r="U673" s="238"/>
      <c r="V673" s="238"/>
    </row>
    <row r="674" spans="1:39" s="186" customFormat="1" ht="22.5" customHeight="1" x14ac:dyDescent="0.25">
      <c r="A674" s="25">
        <v>3</v>
      </c>
      <c r="B674" s="37" t="s">
        <v>671</v>
      </c>
      <c r="C674" s="75">
        <f t="shared" si="126"/>
        <v>415877.24</v>
      </c>
      <c r="D674" s="75">
        <f t="shared" si="127"/>
        <v>407163.93</v>
      </c>
      <c r="E674" s="75">
        <v>0</v>
      </c>
      <c r="F674" s="87">
        <v>0</v>
      </c>
      <c r="G674" s="75">
        <v>0</v>
      </c>
      <c r="H674" s="75">
        <v>0</v>
      </c>
      <c r="I674" s="75">
        <v>407163.93</v>
      </c>
      <c r="J674" s="152">
        <v>0</v>
      </c>
      <c r="K674" s="75">
        <v>0</v>
      </c>
      <c r="L674" s="75">
        <v>0</v>
      </c>
      <c r="M674" s="75">
        <v>0</v>
      </c>
      <c r="N674" s="75">
        <v>0</v>
      </c>
      <c r="O674" s="87">
        <v>0</v>
      </c>
      <c r="P674" s="75">
        <v>0</v>
      </c>
      <c r="Q674" s="75">
        <v>0</v>
      </c>
      <c r="R674" s="75">
        <v>8713.31</v>
      </c>
      <c r="S674" s="75">
        <v>0</v>
      </c>
      <c r="T674" s="75">
        <v>0</v>
      </c>
      <c r="U674" s="238"/>
      <c r="V674" s="238"/>
    </row>
    <row r="675" spans="1:39" s="186" customFormat="1" ht="22.5" customHeight="1" x14ac:dyDescent="0.25">
      <c r="A675" s="25">
        <v>4</v>
      </c>
      <c r="B675" s="37" t="s">
        <v>1272</v>
      </c>
      <c r="C675" s="75">
        <f t="shared" si="126"/>
        <v>7151101.0899999999</v>
      </c>
      <c r="D675" s="75">
        <f t="shared" si="127"/>
        <v>6658232.9100000001</v>
      </c>
      <c r="E675" s="75">
        <v>6658232.9100000001</v>
      </c>
      <c r="F675" s="75">
        <v>0</v>
      </c>
      <c r="G675" s="75">
        <v>0</v>
      </c>
      <c r="H675" s="75">
        <v>0</v>
      </c>
      <c r="I675" s="75">
        <v>0</v>
      </c>
      <c r="J675" s="152">
        <v>0</v>
      </c>
      <c r="K675" s="75">
        <v>0</v>
      </c>
      <c r="L675" s="75">
        <v>0</v>
      </c>
      <c r="M675" s="75">
        <v>0</v>
      </c>
      <c r="N675" s="75">
        <v>0</v>
      </c>
      <c r="O675" s="75">
        <v>0</v>
      </c>
      <c r="P675" s="75">
        <v>350382</v>
      </c>
      <c r="Q675" s="75">
        <v>0</v>
      </c>
      <c r="R675" s="75">
        <v>142486.18</v>
      </c>
      <c r="S675" s="75">
        <v>0</v>
      </c>
      <c r="T675" s="75">
        <v>0</v>
      </c>
      <c r="U675" s="243"/>
      <c r="V675" s="243"/>
      <c r="W675" s="40"/>
      <c r="X675" s="40"/>
      <c r="Y675" s="40"/>
      <c r="Z675" s="40"/>
      <c r="AA675" s="40"/>
      <c r="AB675" s="40"/>
      <c r="AC675" s="40"/>
      <c r="AD675" s="40"/>
      <c r="AE675" s="40"/>
      <c r="AF675" s="40"/>
      <c r="AG675" s="40"/>
      <c r="AH675" s="40"/>
      <c r="AI675" s="40"/>
    </row>
    <row r="676" spans="1:39" s="186" customFormat="1" ht="22.5" customHeight="1" x14ac:dyDescent="0.25">
      <c r="A676" s="25">
        <v>5</v>
      </c>
      <c r="B676" s="37" t="s">
        <v>1273</v>
      </c>
      <c r="C676" s="75">
        <f t="shared" si="126"/>
        <v>4821503.9899999993</v>
      </c>
      <c r="D676" s="75">
        <f t="shared" si="127"/>
        <v>0</v>
      </c>
      <c r="E676" s="75">
        <v>0</v>
      </c>
      <c r="F676" s="75">
        <v>0</v>
      </c>
      <c r="G676" s="75">
        <v>0</v>
      </c>
      <c r="H676" s="75">
        <v>0</v>
      </c>
      <c r="I676" s="75">
        <v>0</v>
      </c>
      <c r="J676" s="152">
        <v>0</v>
      </c>
      <c r="K676" s="75">
        <v>0</v>
      </c>
      <c r="L676" s="75">
        <v>4720485.5999999996</v>
      </c>
      <c r="M676" s="75">
        <v>0</v>
      </c>
      <c r="N676" s="75">
        <v>0</v>
      </c>
      <c r="O676" s="75">
        <v>0</v>
      </c>
      <c r="P676" s="75">
        <v>0</v>
      </c>
      <c r="Q676" s="75">
        <v>0</v>
      </c>
      <c r="R676" s="75">
        <v>101018.39</v>
      </c>
      <c r="S676" s="75">
        <v>0</v>
      </c>
      <c r="T676" s="75">
        <v>0</v>
      </c>
      <c r="U676" s="243"/>
      <c r="V676" s="243"/>
      <c r="W676" s="40"/>
      <c r="X676" s="40"/>
      <c r="Y676" s="40"/>
      <c r="Z676" s="40"/>
      <c r="AA676" s="40"/>
      <c r="AB676" s="40"/>
      <c r="AC676" s="40"/>
      <c r="AD676" s="40"/>
      <c r="AE676" s="40"/>
      <c r="AF676" s="40"/>
      <c r="AG676" s="40"/>
      <c r="AH676" s="40"/>
      <c r="AI676" s="40"/>
    </row>
    <row r="677" spans="1:39" s="186" customFormat="1" ht="22.5" customHeight="1" x14ac:dyDescent="0.25">
      <c r="A677" s="25">
        <v>6</v>
      </c>
      <c r="B677" s="37" t="s">
        <v>1274</v>
      </c>
      <c r="C677" s="75">
        <f t="shared" si="126"/>
        <v>5092018.97</v>
      </c>
      <c r="D677" s="75">
        <f t="shared" si="127"/>
        <v>4642291.92</v>
      </c>
      <c r="E677" s="87">
        <v>4642291.92</v>
      </c>
      <c r="F677" s="87">
        <v>0</v>
      </c>
      <c r="G677" s="75">
        <v>0</v>
      </c>
      <c r="H677" s="87">
        <v>0</v>
      </c>
      <c r="I677" s="87">
        <v>0</v>
      </c>
      <c r="J677" s="152">
        <v>0</v>
      </c>
      <c r="K677" s="75">
        <v>0</v>
      </c>
      <c r="L677" s="75">
        <v>0</v>
      </c>
      <c r="M677" s="75">
        <v>0</v>
      </c>
      <c r="N677" s="75">
        <v>0</v>
      </c>
      <c r="O677" s="75">
        <v>0</v>
      </c>
      <c r="P677" s="87">
        <v>350382</v>
      </c>
      <c r="Q677" s="75">
        <v>0</v>
      </c>
      <c r="R677" s="75">
        <v>99345.05</v>
      </c>
      <c r="S677" s="75">
        <v>0</v>
      </c>
      <c r="T677" s="75">
        <v>0</v>
      </c>
      <c r="U677" s="239"/>
      <c r="V677" s="239"/>
      <c r="W677" s="40"/>
      <c r="X677" s="40"/>
      <c r="Y677" s="40"/>
      <c r="Z677" s="40"/>
      <c r="AA677" s="40"/>
      <c r="AB677" s="40"/>
      <c r="AC677" s="40"/>
      <c r="AD677" s="40"/>
      <c r="AE677" s="40"/>
      <c r="AF677" s="40"/>
      <c r="AG677" s="40"/>
      <c r="AH677" s="40"/>
      <c r="AI677" s="40"/>
    </row>
    <row r="678" spans="1:39" s="186" customFormat="1" ht="22.5" customHeight="1" x14ac:dyDescent="0.25">
      <c r="A678" s="25">
        <v>7</v>
      </c>
      <c r="B678" s="37" t="s">
        <v>1275</v>
      </c>
      <c r="C678" s="75">
        <f t="shared" si="126"/>
        <v>350382</v>
      </c>
      <c r="D678" s="75">
        <f t="shared" si="127"/>
        <v>0</v>
      </c>
      <c r="E678" s="75">
        <v>0</v>
      </c>
      <c r="F678" s="87">
        <v>0</v>
      </c>
      <c r="G678" s="75">
        <v>0</v>
      </c>
      <c r="H678" s="75">
        <v>0</v>
      </c>
      <c r="I678" s="75">
        <v>0</v>
      </c>
      <c r="J678" s="152">
        <v>0</v>
      </c>
      <c r="K678" s="75">
        <v>0</v>
      </c>
      <c r="L678" s="75">
        <v>0</v>
      </c>
      <c r="M678" s="75">
        <v>0</v>
      </c>
      <c r="N678" s="87">
        <v>0</v>
      </c>
      <c r="O678" s="87">
        <v>0</v>
      </c>
      <c r="P678" s="87">
        <v>350382</v>
      </c>
      <c r="Q678" s="75">
        <v>0</v>
      </c>
      <c r="R678" s="75">
        <v>0</v>
      </c>
      <c r="S678" s="75">
        <v>0</v>
      </c>
      <c r="T678" s="75">
        <v>0</v>
      </c>
      <c r="U678" s="238"/>
      <c r="V678" s="238"/>
    </row>
    <row r="679" spans="1:39" s="186" customFormat="1" ht="22.5" customHeight="1" x14ac:dyDescent="0.25">
      <c r="A679" s="25">
        <v>8</v>
      </c>
      <c r="B679" s="37" t="s">
        <v>377</v>
      </c>
      <c r="C679" s="75">
        <f t="shared" si="126"/>
        <v>7924185.0700000003</v>
      </c>
      <c r="D679" s="75">
        <f t="shared" si="127"/>
        <v>0</v>
      </c>
      <c r="E679" s="75">
        <v>0</v>
      </c>
      <c r="F679" s="87">
        <v>0</v>
      </c>
      <c r="G679" s="75">
        <v>0</v>
      </c>
      <c r="H679" s="75">
        <v>0</v>
      </c>
      <c r="I679" s="75">
        <v>0</v>
      </c>
      <c r="J679" s="152">
        <v>0</v>
      </c>
      <c r="K679" s="75">
        <v>0</v>
      </c>
      <c r="L679" s="87">
        <v>7758160.4400000004</v>
      </c>
      <c r="M679" s="75">
        <v>0</v>
      </c>
      <c r="N679" s="87">
        <v>0</v>
      </c>
      <c r="O679" s="87">
        <v>0</v>
      </c>
      <c r="P679" s="87">
        <v>0</v>
      </c>
      <c r="Q679" s="75">
        <v>0</v>
      </c>
      <c r="R679" s="75">
        <v>166024.63</v>
      </c>
      <c r="S679" s="75">
        <v>0</v>
      </c>
      <c r="T679" s="75">
        <v>0</v>
      </c>
      <c r="U679" s="238"/>
      <c r="V679" s="238"/>
    </row>
    <row r="680" spans="1:39" s="186" customFormat="1" ht="22.15" customHeight="1" x14ac:dyDescent="0.25">
      <c r="A680" s="25">
        <v>9</v>
      </c>
      <c r="B680" s="37" t="s">
        <v>380</v>
      </c>
      <c r="C680" s="75">
        <f t="shared" si="126"/>
        <v>4992822.5</v>
      </c>
      <c r="D680" s="75">
        <f t="shared" si="127"/>
        <v>0</v>
      </c>
      <c r="E680" s="75">
        <v>0</v>
      </c>
      <c r="F680" s="87">
        <v>0</v>
      </c>
      <c r="G680" s="75">
        <v>0</v>
      </c>
      <c r="H680" s="75">
        <v>0</v>
      </c>
      <c r="I680" s="75">
        <v>0</v>
      </c>
      <c r="J680" s="152">
        <v>0</v>
      </c>
      <c r="K680" s="75">
        <v>0</v>
      </c>
      <c r="L680" s="87">
        <v>4870632.29</v>
      </c>
      <c r="M680" s="75">
        <v>0</v>
      </c>
      <c r="N680" s="87">
        <v>0</v>
      </c>
      <c r="O680" s="87">
        <v>0</v>
      </c>
      <c r="P680" s="87">
        <v>0</v>
      </c>
      <c r="Q680" s="75">
        <v>0</v>
      </c>
      <c r="R680" s="75">
        <v>122190.21</v>
      </c>
      <c r="S680" s="75">
        <v>0</v>
      </c>
      <c r="T680" s="75">
        <v>0</v>
      </c>
      <c r="U680" s="238"/>
      <c r="V680" s="238"/>
    </row>
    <row r="681" spans="1:39" s="186" customFormat="1" ht="22.15" customHeight="1" x14ac:dyDescent="0.25">
      <c r="A681" s="25">
        <v>10</v>
      </c>
      <c r="B681" s="37" t="s">
        <v>1276</v>
      </c>
      <c r="C681" s="75">
        <f t="shared" si="126"/>
        <v>350382</v>
      </c>
      <c r="D681" s="75">
        <f t="shared" si="127"/>
        <v>0</v>
      </c>
      <c r="E681" s="87">
        <v>0</v>
      </c>
      <c r="F681" s="87">
        <v>0</v>
      </c>
      <c r="G681" s="75">
        <v>0</v>
      </c>
      <c r="H681" s="75">
        <v>0</v>
      </c>
      <c r="I681" s="87">
        <v>0</v>
      </c>
      <c r="J681" s="152">
        <v>0</v>
      </c>
      <c r="K681" s="75">
        <v>0</v>
      </c>
      <c r="L681" s="75">
        <v>0</v>
      </c>
      <c r="M681" s="75">
        <v>0</v>
      </c>
      <c r="N681" s="75">
        <v>0</v>
      </c>
      <c r="O681" s="75">
        <v>0</v>
      </c>
      <c r="P681" s="87">
        <v>350382</v>
      </c>
      <c r="Q681" s="75">
        <v>0</v>
      </c>
      <c r="R681" s="75">
        <v>0</v>
      </c>
      <c r="S681" s="75">
        <v>0</v>
      </c>
      <c r="T681" s="75">
        <v>0</v>
      </c>
      <c r="U681" s="243"/>
      <c r="V681" s="243"/>
    </row>
    <row r="682" spans="1:39" s="186" customFormat="1" ht="34.5" customHeight="1" x14ac:dyDescent="0.25">
      <c r="A682" s="25">
        <v>11</v>
      </c>
      <c r="B682" s="37" t="s">
        <v>1277</v>
      </c>
      <c r="C682" s="75">
        <f t="shared" si="126"/>
        <v>21094126.82</v>
      </c>
      <c r="D682" s="75">
        <f t="shared" si="127"/>
        <v>4309772.9000000004</v>
      </c>
      <c r="E682" s="87">
        <v>4309772.9000000004</v>
      </c>
      <c r="F682" s="87">
        <v>0</v>
      </c>
      <c r="G682" s="75">
        <v>0</v>
      </c>
      <c r="H682" s="75">
        <v>0</v>
      </c>
      <c r="I682" s="87">
        <v>0</v>
      </c>
      <c r="J682" s="152">
        <v>0</v>
      </c>
      <c r="K682" s="75">
        <v>0</v>
      </c>
      <c r="L682" s="75">
        <v>14627193.9</v>
      </c>
      <c r="M682" s="75">
        <v>0</v>
      </c>
      <c r="N682" s="75">
        <v>0</v>
      </c>
      <c r="O682" s="75">
        <v>0</v>
      </c>
      <c r="P682" s="87">
        <f t="shared" ref="P682:P683" si="128">350382*5</f>
        <v>1751910</v>
      </c>
      <c r="Q682" s="75">
        <v>0</v>
      </c>
      <c r="R682" s="75">
        <f>313021.95+92228.07</f>
        <v>405250.02</v>
      </c>
      <c r="S682" s="75">
        <v>0</v>
      </c>
      <c r="T682" s="75">
        <v>0</v>
      </c>
      <c r="U682" s="243"/>
      <c r="V682" s="243"/>
    </row>
    <row r="683" spans="1:39" s="186" customFormat="1" ht="34.5" customHeight="1" x14ac:dyDescent="0.25">
      <c r="A683" s="25">
        <v>12</v>
      </c>
      <c r="B683" s="37" t="s">
        <v>1278</v>
      </c>
      <c r="C683" s="75">
        <f t="shared" si="126"/>
        <v>20900056.580000002</v>
      </c>
      <c r="D683" s="75">
        <f t="shared" si="127"/>
        <v>4266492.3</v>
      </c>
      <c r="E683" s="87">
        <v>4266492.3</v>
      </c>
      <c r="F683" s="87">
        <v>0</v>
      </c>
      <c r="G683" s="75">
        <v>0</v>
      </c>
      <c r="H683" s="75">
        <v>0</v>
      </c>
      <c r="I683" s="87">
        <v>0</v>
      </c>
      <c r="J683" s="152">
        <v>0</v>
      </c>
      <c r="K683" s="75">
        <v>0</v>
      </c>
      <c r="L683" s="75">
        <v>14480469.300000001</v>
      </c>
      <c r="M683" s="75">
        <v>0</v>
      </c>
      <c r="N683" s="75">
        <v>0</v>
      </c>
      <c r="O683" s="75">
        <v>0</v>
      </c>
      <c r="P683" s="87">
        <f t="shared" si="128"/>
        <v>1751910</v>
      </c>
      <c r="Q683" s="75">
        <v>0</v>
      </c>
      <c r="R683" s="75">
        <f>309882.04+91302.94</f>
        <v>401184.98</v>
      </c>
      <c r="S683" s="75">
        <v>0</v>
      </c>
      <c r="T683" s="75">
        <v>0</v>
      </c>
      <c r="U683" s="243"/>
      <c r="V683" s="243"/>
    </row>
    <row r="684" spans="1:39" s="186" customFormat="1" ht="29.25" customHeight="1" x14ac:dyDescent="0.25">
      <c r="A684" s="25">
        <v>13</v>
      </c>
      <c r="B684" s="37" t="s">
        <v>1279</v>
      </c>
      <c r="C684" s="75">
        <f t="shared" si="126"/>
        <v>22958633.82</v>
      </c>
      <c r="D684" s="75">
        <f t="shared" si="127"/>
        <v>0</v>
      </c>
      <c r="E684" s="87">
        <v>0</v>
      </c>
      <c r="F684" s="87">
        <v>0</v>
      </c>
      <c r="G684" s="75">
        <v>0</v>
      </c>
      <c r="H684" s="75">
        <v>0</v>
      </c>
      <c r="I684" s="87">
        <v>0</v>
      </c>
      <c r="J684" s="152">
        <v>0</v>
      </c>
      <c r="K684" s="75">
        <v>0</v>
      </c>
      <c r="L684" s="75">
        <v>21105449.199999999</v>
      </c>
      <c r="M684" s="75">
        <v>0</v>
      </c>
      <c r="N684" s="75">
        <v>0</v>
      </c>
      <c r="O684" s="75">
        <v>0</v>
      </c>
      <c r="P684" s="87">
        <f t="shared" ref="P684:P686" si="129">350382*4</f>
        <v>1401528</v>
      </c>
      <c r="Q684" s="75">
        <v>0</v>
      </c>
      <c r="R684" s="75">
        <f>451656.62</f>
        <v>451656.62</v>
      </c>
      <c r="S684" s="75">
        <v>0</v>
      </c>
      <c r="T684" s="75">
        <v>0</v>
      </c>
      <c r="U684" s="243"/>
      <c r="V684" s="243"/>
    </row>
    <row r="685" spans="1:39" s="186" customFormat="1" ht="29.25" customHeight="1" x14ac:dyDescent="0.25">
      <c r="A685" s="25">
        <v>14</v>
      </c>
      <c r="B685" s="37" t="s">
        <v>1280</v>
      </c>
      <c r="C685" s="75">
        <f t="shared" si="126"/>
        <v>16653695.85</v>
      </c>
      <c r="D685" s="75">
        <f t="shared" si="127"/>
        <v>0</v>
      </c>
      <c r="E685" s="87">
        <v>0</v>
      </c>
      <c r="F685" s="87">
        <v>0</v>
      </c>
      <c r="G685" s="75">
        <v>0</v>
      </c>
      <c r="H685" s="75">
        <v>0</v>
      </c>
      <c r="I685" s="87">
        <v>0</v>
      </c>
      <c r="J685" s="152">
        <v>0</v>
      </c>
      <c r="K685" s="75">
        <v>0</v>
      </c>
      <c r="L685" s="75">
        <v>14932610</v>
      </c>
      <c r="M685" s="75">
        <v>0</v>
      </c>
      <c r="N685" s="75">
        <v>0</v>
      </c>
      <c r="O685" s="75">
        <v>0</v>
      </c>
      <c r="P685" s="87">
        <f t="shared" si="129"/>
        <v>1401528</v>
      </c>
      <c r="Q685" s="75">
        <v>0</v>
      </c>
      <c r="R685" s="75">
        <f>319557.85</f>
        <v>319557.84999999998</v>
      </c>
      <c r="S685" s="75">
        <v>0</v>
      </c>
      <c r="T685" s="75">
        <v>0</v>
      </c>
      <c r="U685" s="243"/>
      <c r="V685" s="243"/>
    </row>
    <row r="686" spans="1:39" s="108" customFormat="1" ht="27" customHeight="1" x14ac:dyDescent="0.25">
      <c r="A686" s="25">
        <v>15</v>
      </c>
      <c r="B686" s="37" t="s">
        <v>1281</v>
      </c>
      <c r="C686" s="75">
        <f t="shared" si="126"/>
        <v>19317776.599999998</v>
      </c>
      <c r="D686" s="75">
        <f t="shared" si="127"/>
        <v>0</v>
      </c>
      <c r="E686" s="87">
        <v>0</v>
      </c>
      <c r="F686" s="87">
        <v>0</v>
      </c>
      <c r="G686" s="75">
        <v>0</v>
      </c>
      <c r="H686" s="75">
        <v>0</v>
      </c>
      <c r="I686" s="87">
        <v>0</v>
      </c>
      <c r="J686" s="152">
        <v>0</v>
      </c>
      <c r="K686" s="75">
        <v>0</v>
      </c>
      <c r="L686" s="75">
        <v>17540873.899999999</v>
      </c>
      <c r="M686" s="75">
        <v>0</v>
      </c>
      <c r="N686" s="75">
        <v>0</v>
      </c>
      <c r="O686" s="75">
        <v>0</v>
      </c>
      <c r="P686" s="87">
        <f t="shared" si="129"/>
        <v>1401528</v>
      </c>
      <c r="Q686" s="75">
        <v>0</v>
      </c>
      <c r="R686" s="75">
        <f>375374.7</f>
        <v>375374.7</v>
      </c>
      <c r="S686" s="75">
        <v>0</v>
      </c>
      <c r="T686" s="75">
        <v>0</v>
      </c>
      <c r="U686" s="243"/>
      <c r="V686" s="243"/>
      <c r="W686" s="186"/>
      <c r="X686" s="186"/>
      <c r="Y686" s="186"/>
      <c r="Z686" s="186"/>
      <c r="AA686" s="186"/>
      <c r="AB686" s="186"/>
      <c r="AC686" s="186"/>
      <c r="AD686" s="186"/>
      <c r="AE686" s="186"/>
      <c r="AF686" s="186"/>
      <c r="AG686" s="186"/>
      <c r="AH686" s="186"/>
      <c r="AI686" s="186"/>
      <c r="AJ686" s="186"/>
      <c r="AK686" s="186"/>
      <c r="AL686" s="186"/>
      <c r="AM686" s="186"/>
    </row>
    <row r="687" spans="1:39" s="186" customFormat="1" ht="22.5" customHeight="1" x14ac:dyDescent="0.25">
      <c r="A687" s="326" t="s">
        <v>382</v>
      </c>
      <c r="B687" s="326"/>
      <c r="C687" s="118">
        <f t="shared" ref="C687:T687" si="130">SUM(C688:C690)</f>
        <v>14479098.100000001</v>
      </c>
      <c r="D687" s="118">
        <f t="shared" si="130"/>
        <v>2235923.2000000002</v>
      </c>
      <c r="E687" s="118">
        <f t="shared" si="130"/>
        <v>0</v>
      </c>
      <c r="F687" s="118">
        <f t="shared" si="130"/>
        <v>2235923.2000000002</v>
      </c>
      <c r="G687" s="118">
        <f t="shared" si="130"/>
        <v>0</v>
      </c>
      <c r="H687" s="118">
        <f t="shared" si="130"/>
        <v>0</v>
      </c>
      <c r="I687" s="118">
        <f t="shared" si="130"/>
        <v>0</v>
      </c>
      <c r="J687" s="119">
        <f t="shared" si="130"/>
        <v>2</v>
      </c>
      <c r="K687" s="118">
        <f t="shared" si="130"/>
        <v>10525614</v>
      </c>
      <c r="L687" s="118">
        <f t="shared" si="130"/>
        <v>0</v>
      </c>
      <c r="M687" s="118">
        <f t="shared" si="130"/>
        <v>0</v>
      </c>
      <c r="N687" s="118">
        <f t="shared" si="130"/>
        <v>0</v>
      </c>
      <c r="O687" s="118">
        <f t="shared" si="130"/>
        <v>0</v>
      </c>
      <c r="P687" s="118">
        <f t="shared" si="130"/>
        <v>1444464</v>
      </c>
      <c r="Q687" s="118">
        <f t="shared" si="130"/>
        <v>0</v>
      </c>
      <c r="R687" s="118">
        <f t="shared" si="130"/>
        <v>273096.90000000002</v>
      </c>
      <c r="S687" s="118">
        <f t="shared" si="130"/>
        <v>0</v>
      </c>
      <c r="T687" s="118">
        <f t="shared" si="130"/>
        <v>0</v>
      </c>
      <c r="U687" s="238"/>
      <c r="V687" s="238"/>
      <c r="W687" s="23"/>
      <c r="X687" s="23"/>
      <c r="Y687" s="23"/>
      <c r="Z687" s="23"/>
      <c r="AA687" s="23"/>
      <c r="AB687" s="23"/>
      <c r="AC687" s="23"/>
      <c r="AD687" s="23"/>
      <c r="AE687" s="23"/>
      <c r="AF687" s="23"/>
      <c r="AG687" s="23"/>
      <c r="AH687" s="23"/>
      <c r="AI687" s="23"/>
    </row>
    <row r="688" spans="1:39" s="186" customFormat="1" ht="22.5" customHeight="1" x14ac:dyDescent="0.25">
      <c r="A688" s="25">
        <v>1</v>
      </c>
      <c r="B688" s="37" t="s">
        <v>1282</v>
      </c>
      <c r="C688" s="75">
        <f t="shared" ref="C688:C690" si="131">D688+K688+L688+M688+N688+O688+P688+Q688+R688+S688+T688</f>
        <v>5964866.0700000003</v>
      </c>
      <c r="D688" s="75">
        <f t="shared" ref="D688:D690" si="132">SUM(E688:I688)</f>
        <v>0</v>
      </c>
      <c r="E688" s="75">
        <v>0</v>
      </c>
      <c r="F688" s="42">
        <v>0</v>
      </c>
      <c r="G688" s="42">
        <v>0</v>
      </c>
      <c r="H688" s="42">
        <v>0</v>
      </c>
      <c r="I688" s="42">
        <v>0</v>
      </c>
      <c r="J688" s="43">
        <v>1</v>
      </c>
      <c r="K688" s="42">
        <v>5262807</v>
      </c>
      <c r="L688" s="42">
        <v>0</v>
      </c>
      <c r="M688" s="42">
        <v>0</v>
      </c>
      <c r="N688" s="42">
        <v>0</v>
      </c>
      <c r="O688" s="42">
        <v>0</v>
      </c>
      <c r="P688" s="42">
        <v>589435</v>
      </c>
      <c r="Q688" s="42">
        <v>0</v>
      </c>
      <c r="R688" s="42">
        <v>112624.07</v>
      </c>
      <c r="S688" s="42">
        <v>0</v>
      </c>
      <c r="T688" s="42">
        <v>0</v>
      </c>
      <c r="U688" s="238"/>
      <c r="V688" s="238"/>
      <c r="W688" s="23"/>
      <c r="X688" s="23"/>
      <c r="Y688" s="23"/>
      <c r="Z688" s="23"/>
      <c r="AA688" s="23"/>
      <c r="AB688" s="23"/>
      <c r="AC688" s="23"/>
      <c r="AD688" s="23"/>
      <c r="AE688" s="23"/>
      <c r="AF688" s="23"/>
      <c r="AG688" s="23"/>
      <c r="AH688" s="23"/>
      <c r="AI688" s="23"/>
    </row>
    <row r="689" spans="1:35" s="186" customFormat="1" ht="22.5" customHeight="1" x14ac:dyDescent="0.25">
      <c r="A689" s="25">
        <v>2</v>
      </c>
      <c r="B689" s="37" t="s">
        <v>1283</v>
      </c>
      <c r="C689" s="75">
        <f t="shared" si="131"/>
        <v>5964866.0700000003</v>
      </c>
      <c r="D689" s="75">
        <f t="shared" si="132"/>
        <v>0</v>
      </c>
      <c r="E689" s="75">
        <v>0</v>
      </c>
      <c r="F689" s="42">
        <v>0</v>
      </c>
      <c r="G689" s="42">
        <v>0</v>
      </c>
      <c r="H689" s="42">
        <v>0</v>
      </c>
      <c r="I689" s="42">
        <v>0</v>
      </c>
      <c r="J689" s="43">
        <v>1</v>
      </c>
      <c r="K689" s="42">
        <v>5262807</v>
      </c>
      <c r="L689" s="42">
        <v>0</v>
      </c>
      <c r="M689" s="42">
        <v>0</v>
      </c>
      <c r="N689" s="42">
        <v>0</v>
      </c>
      <c r="O689" s="42">
        <v>0</v>
      </c>
      <c r="P689" s="42">
        <v>589435</v>
      </c>
      <c r="Q689" s="42">
        <v>0</v>
      </c>
      <c r="R689" s="42">
        <v>112624.07</v>
      </c>
      <c r="S689" s="42">
        <v>0</v>
      </c>
      <c r="T689" s="42">
        <v>0</v>
      </c>
      <c r="U689" s="238"/>
      <c r="V689" s="238"/>
      <c r="W689" s="23"/>
      <c r="X689" s="23"/>
      <c r="Y689" s="23"/>
      <c r="Z689" s="23"/>
      <c r="AA689" s="23"/>
      <c r="AB689" s="23"/>
      <c r="AC689" s="23"/>
      <c r="AD689" s="23"/>
      <c r="AE689" s="23"/>
      <c r="AF689" s="23"/>
      <c r="AG689" s="23"/>
      <c r="AH689" s="23"/>
      <c r="AI689" s="23"/>
    </row>
    <row r="690" spans="1:35" s="186" customFormat="1" ht="22.5" customHeight="1" x14ac:dyDescent="0.25">
      <c r="A690" s="25">
        <v>3</v>
      </c>
      <c r="B690" s="37" t="s">
        <v>1284</v>
      </c>
      <c r="C690" s="75">
        <f t="shared" si="131"/>
        <v>2549365.96</v>
      </c>
      <c r="D690" s="75">
        <f t="shared" si="132"/>
        <v>2235923.2000000002</v>
      </c>
      <c r="E690" s="75">
        <v>0</v>
      </c>
      <c r="F690" s="42">
        <v>2235923.2000000002</v>
      </c>
      <c r="G690" s="42">
        <v>0</v>
      </c>
      <c r="H690" s="42">
        <v>0</v>
      </c>
      <c r="I690" s="42">
        <v>0</v>
      </c>
      <c r="J690" s="43">
        <v>0</v>
      </c>
      <c r="K690" s="42">
        <v>0</v>
      </c>
      <c r="L690" s="42">
        <v>0</v>
      </c>
      <c r="M690" s="42">
        <v>0</v>
      </c>
      <c r="N690" s="42">
        <v>0</v>
      </c>
      <c r="O690" s="42">
        <v>0</v>
      </c>
      <c r="P690" s="42">
        <v>265594</v>
      </c>
      <c r="Q690" s="42">
        <v>0</v>
      </c>
      <c r="R690" s="42">
        <v>47848.76</v>
      </c>
      <c r="S690" s="42">
        <v>0</v>
      </c>
      <c r="T690" s="42">
        <v>0</v>
      </c>
      <c r="U690" s="238"/>
      <c r="V690" s="238"/>
      <c r="W690" s="23"/>
      <c r="X690" s="23"/>
      <c r="Y690" s="23"/>
      <c r="Z690" s="23"/>
      <c r="AA690" s="23"/>
      <c r="AB690" s="23"/>
      <c r="AC690" s="23"/>
      <c r="AD690" s="23"/>
      <c r="AE690" s="23"/>
      <c r="AF690" s="23"/>
      <c r="AG690" s="23"/>
      <c r="AH690" s="23"/>
      <c r="AI690" s="23"/>
    </row>
    <row r="691" spans="1:35" s="186" customFormat="1" ht="22.5" customHeight="1" x14ac:dyDescent="0.25">
      <c r="A691" s="322" t="s">
        <v>400</v>
      </c>
      <c r="B691" s="322"/>
      <c r="C691" s="118">
        <f t="shared" ref="C691:T691" si="133">C692</f>
        <v>265594</v>
      </c>
      <c r="D691" s="118">
        <f t="shared" si="133"/>
        <v>0</v>
      </c>
      <c r="E691" s="118">
        <f t="shared" si="133"/>
        <v>0</v>
      </c>
      <c r="F691" s="118">
        <f t="shared" si="133"/>
        <v>0</v>
      </c>
      <c r="G691" s="118">
        <f t="shared" si="133"/>
        <v>0</v>
      </c>
      <c r="H691" s="118">
        <f t="shared" si="133"/>
        <v>0</v>
      </c>
      <c r="I691" s="118">
        <f t="shared" si="133"/>
        <v>0</v>
      </c>
      <c r="J691" s="119">
        <f t="shared" si="133"/>
        <v>0</v>
      </c>
      <c r="K691" s="118">
        <f t="shared" si="133"/>
        <v>0</v>
      </c>
      <c r="L691" s="118">
        <f t="shared" si="133"/>
        <v>0</v>
      </c>
      <c r="M691" s="118">
        <f t="shared" si="133"/>
        <v>0</v>
      </c>
      <c r="N691" s="118">
        <f t="shared" si="133"/>
        <v>0</v>
      </c>
      <c r="O691" s="118">
        <f t="shared" si="133"/>
        <v>0</v>
      </c>
      <c r="P691" s="118">
        <f t="shared" si="133"/>
        <v>265594</v>
      </c>
      <c r="Q691" s="118">
        <f t="shared" si="133"/>
        <v>0</v>
      </c>
      <c r="R691" s="118">
        <f t="shared" si="133"/>
        <v>0</v>
      </c>
      <c r="S691" s="118">
        <f t="shared" si="133"/>
        <v>0</v>
      </c>
      <c r="T691" s="118">
        <f t="shared" si="133"/>
        <v>0</v>
      </c>
      <c r="U691" s="252"/>
      <c r="V691" s="252"/>
      <c r="W691" s="23"/>
      <c r="X691" s="23"/>
      <c r="Y691" s="23"/>
      <c r="Z691" s="23"/>
      <c r="AA691" s="23"/>
      <c r="AB691" s="23"/>
      <c r="AC691" s="23"/>
      <c r="AD691" s="23"/>
      <c r="AE691" s="23"/>
      <c r="AF691" s="23"/>
      <c r="AG691" s="23"/>
      <c r="AH691" s="23"/>
      <c r="AI691" s="23"/>
    </row>
    <row r="692" spans="1:35" s="186" customFormat="1" ht="22.5" customHeight="1" x14ac:dyDescent="0.25">
      <c r="A692" s="25">
        <v>1</v>
      </c>
      <c r="B692" s="37" t="s">
        <v>1285</v>
      </c>
      <c r="C692" s="75">
        <f>D692+K692+L692+M692+N692+O692+P692+Q692+R692+S692+T692</f>
        <v>265594</v>
      </c>
      <c r="D692" s="75">
        <f>SUM(E692:I692)</f>
        <v>0</v>
      </c>
      <c r="E692" s="75">
        <v>0</v>
      </c>
      <c r="F692" s="87">
        <v>0</v>
      </c>
      <c r="G692" s="75">
        <v>0</v>
      </c>
      <c r="H692" s="87">
        <v>0</v>
      </c>
      <c r="I692" s="75">
        <v>0</v>
      </c>
      <c r="J692" s="152">
        <v>0</v>
      </c>
      <c r="K692" s="75">
        <v>0</v>
      </c>
      <c r="L692" s="87">
        <v>0</v>
      </c>
      <c r="M692" s="75">
        <v>0</v>
      </c>
      <c r="N692" s="87">
        <v>0</v>
      </c>
      <c r="O692" s="75">
        <v>0</v>
      </c>
      <c r="P692" s="87">
        <v>265594</v>
      </c>
      <c r="Q692" s="75">
        <v>0</v>
      </c>
      <c r="R692" s="75">
        <v>0</v>
      </c>
      <c r="S692" s="75">
        <v>0</v>
      </c>
      <c r="T692" s="75">
        <v>0</v>
      </c>
      <c r="U692" s="253"/>
      <c r="V692" s="253"/>
      <c r="W692" s="44"/>
      <c r="X692" s="44"/>
      <c r="Y692" s="44"/>
      <c r="Z692" s="44"/>
      <c r="AA692" s="44"/>
      <c r="AB692" s="44"/>
      <c r="AC692" s="44"/>
      <c r="AD692" s="44"/>
      <c r="AE692" s="44"/>
      <c r="AF692" s="44"/>
      <c r="AG692" s="44"/>
      <c r="AH692" s="44"/>
      <c r="AI692" s="44"/>
    </row>
    <row r="693" spans="1:35" s="186" customFormat="1" ht="22.5" customHeight="1" x14ac:dyDescent="0.25">
      <c r="A693" s="322" t="s">
        <v>406</v>
      </c>
      <c r="B693" s="322"/>
      <c r="C693" s="118">
        <f t="shared" ref="C693:T693" si="134">SUM(C694:C695)</f>
        <v>15146125.710000001</v>
      </c>
      <c r="D693" s="118">
        <f t="shared" si="134"/>
        <v>7096083.1400000006</v>
      </c>
      <c r="E693" s="118">
        <f t="shared" si="134"/>
        <v>0</v>
      </c>
      <c r="F693" s="118">
        <f t="shared" si="134"/>
        <v>5243596.8600000003</v>
      </c>
      <c r="G693" s="118">
        <f t="shared" si="134"/>
        <v>0</v>
      </c>
      <c r="H693" s="118">
        <f t="shared" si="134"/>
        <v>647802.56999999995</v>
      </c>
      <c r="I693" s="118">
        <f t="shared" si="134"/>
        <v>1204683.71</v>
      </c>
      <c r="J693" s="119">
        <f t="shared" si="134"/>
        <v>0</v>
      </c>
      <c r="K693" s="118">
        <f t="shared" si="134"/>
        <v>0</v>
      </c>
      <c r="L693" s="118">
        <f t="shared" si="134"/>
        <v>0</v>
      </c>
      <c r="M693" s="118">
        <f t="shared" si="134"/>
        <v>0</v>
      </c>
      <c r="N693" s="118">
        <f t="shared" si="134"/>
        <v>0</v>
      </c>
      <c r="O693" s="118">
        <f t="shared" si="134"/>
        <v>0</v>
      </c>
      <c r="P693" s="118">
        <f t="shared" si="134"/>
        <v>0</v>
      </c>
      <c r="Q693" s="118">
        <f t="shared" si="134"/>
        <v>0</v>
      </c>
      <c r="R693" s="118">
        <f t="shared" si="134"/>
        <v>0</v>
      </c>
      <c r="S693" s="118">
        <f t="shared" si="134"/>
        <v>8050042.5700000003</v>
      </c>
      <c r="T693" s="118">
        <f t="shared" si="134"/>
        <v>0</v>
      </c>
      <c r="U693" s="238"/>
      <c r="V693" s="238"/>
    </row>
    <row r="694" spans="1:35" s="186" customFormat="1" ht="22.5" customHeight="1" x14ac:dyDescent="0.25">
      <c r="A694" s="25">
        <v>1</v>
      </c>
      <c r="B694" s="37" t="s">
        <v>407</v>
      </c>
      <c r="C694" s="75">
        <f t="shared" ref="C694:C695" si="135">D694+K694+L694+M694+N694+O694+P694+Q694+R694+S694+T694</f>
        <v>8050042.5700000003</v>
      </c>
      <c r="D694" s="75">
        <f t="shared" ref="D694:D695" si="136">SUM(E694:I694)</f>
        <v>0</v>
      </c>
      <c r="E694" s="75">
        <v>0</v>
      </c>
      <c r="F694" s="75">
        <v>0</v>
      </c>
      <c r="G694" s="75">
        <v>0</v>
      </c>
      <c r="H694" s="75">
        <v>0</v>
      </c>
      <c r="I694" s="75">
        <v>0</v>
      </c>
      <c r="J694" s="152">
        <v>0</v>
      </c>
      <c r="K694" s="75">
        <v>0</v>
      </c>
      <c r="L694" s="75">
        <v>0</v>
      </c>
      <c r="M694" s="75">
        <v>0</v>
      </c>
      <c r="N694" s="75">
        <v>0</v>
      </c>
      <c r="O694" s="75">
        <v>0</v>
      </c>
      <c r="P694" s="87">
        <v>0</v>
      </c>
      <c r="Q694" s="75">
        <v>0</v>
      </c>
      <c r="R694" s="75">
        <v>0</v>
      </c>
      <c r="S694" s="87">
        <v>8050042.5700000003</v>
      </c>
      <c r="T694" s="75">
        <v>0</v>
      </c>
      <c r="U694" s="243"/>
      <c r="V694" s="243"/>
      <c r="W694" s="40"/>
      <c r="X694" s="40"/>
      <c r="Y694" s="40"/>
      <c r="Z694" s="40"/>
      <c r="AA694" s="40"/>
      <c r="AB694" s="40"/>
      <c r="AC694" s="40"/>
      <c r="AD694" s="40"/>
      <c r="AE694" s="40"/>
      <c r="AF694" s="40"/>
      <c r="AG694" s="40"/>
      <c r="AH694" s="40"/>
      <c r="AI694" s="40"/>
    </row>
    <row r="695" spans="1:35" s="186" customFormat="1" ht="22.5" customHeight="1" x14ac:dyDescent="0.25">
      <c r="A695" s="25">
        <v>2</v>
      </c>
      <c r="B695" s="37" t="s">
        <v>410</v>
      </c>
      <c r="C695" s="75">
        <f t="shared" si="135"/>
        <v>7096083.1400000006</v>
      </c>
      <c r="D695" s="75">
        <f t="shared" si="136"/>
        <v>7096083.1400000006</v>
      </c>
      <c r="E695" s="75">
        <v>0</v>
      </c>
      <c r="F695" s="87">
        <v>5243596.8600000003</v>
      </c>
      <c r="G695" s="87">
        <v>0</v>
      </c>
      <c r="H695" s="87">
        <v>647802.56999999995</v>
      </c>
      <c r="I695" s="87">
        <v>1204683.71</v>
      </c>
      <c r="J695" s="240">
        <v>0</v>
      </c>
      <c r="K695" s="87">
        <v>0</v>
      </c>
      <c r="L695" s="87">
        <v>0</v>
      </c>
      <c r="M695" s="87">
        <v>0</v>
      </c>
      <c r="N695" s="87">
        <v>0</v>
      </c>
      <c r="O695" s="87">
        <v>0</v>
      </c>
      <c r="P695" s="87">
        <v>0</v>
      </c>
      <c r="Q695" s="87">
        <v>0</v>
      </c>
      <c r="R695" s="87">
        <v>0</v>
      </c>
      <c r="S695" s="87">
        <v>0</v>
      </c>
      <c r="T695" s="75">
        <v>0</v>
      </c>
      <c r="U695" s="243"/>
      <c r="V695" s="243"/>
      <c r="W695" s="40"/>
      <c r="X695" s="40"/>
      <c r="Y695" s="40"/>
      <c r="Z695" s="40"/>
      <c r="AA695" s="40"/>
      <c r="AB695" s="40"/>
      <c r="AC695" s="40"/>
      <c r="AD695" s="40"/>
      <c r="AE695" s="40"/>
      <c r="AF695" s="40"/>
      <c r="AG695" s="40"/>
      <c r="AH695" s="40"/>
      <c r="AI695" s="40"/>
    </row>
    <row r="696" spans="1:35" s="186" customFormat="1" ht="22.5" customHeight="1" x14ac:dyDescent="0.25">
      <c r="A696" s="322" t="s">
        <v>412</v>
      </c>
      <c r="B696" s="322"/>
      <c r="C696" s="118">
        <f t="shared" ref="C696:T696" si="137">SUM(C697:C698)</f>
        <v>18966693.939999998</v>
      </c>
      <c r="D696" s="118">
        <f t="shared" si="137"/>
        <v>0</v>
      </c>
      <c r="E696" s="118">
        <f t="shared" si="137"/>
        <v>0</v>
      </c>
      <c r="F696" s="118">
        <f t="shared" si="137"/>
        <v>0</v>
      </c>
      <c r="G696" s="118">
        <f t="shared" si="137"/>
        <v>0</v>
      </c>
      <c r="H696" s="118">
        <f t="shared" si="137"/>
        <v>0</v>
      </c>
      <c r="I696" s="118">
        <f t="shared" si="137"/>
        <v>0</v>
      </c>
      <c r="J696" s="119">
        <f t="shared" si="137"/>
        <v>0</v>
      </c>
      <c r="K696" s="118">
        <f t="shared" si="137"/>
        <v>0</v>
      </c>
      <c r="L696" s="118">
        <f t="shared" si="137"/>
        <v>5349744.7699999996</v>
      </c>
      <c r="M696" s="118">
        <f t="shared" si="137"/>
        <v>0</v>
      </c>
      <c r="N696" s="118">
        <f t="shared" si="137"/>
        <v>13331651.85</v>
      </c>
      <c r="O696" s="118">
        <f t="shared" si="137"/>
        <v>0</v>
      </c>
      <c r="P696" s="118">
        <f t="shared" si="137"/>
        <v>0</v>
      </c>
      <c r="Q696" s="118">
        <f t="shared" si="137"/>
        <v>0</v>
      </c>
      <c r="R696" s="118">
        <f t="shared" si="137"/>
        <v>285297.32</v>
      </c>
      <c r="S696" s="118">
        <f t="shared" si="137"/>
        <v>0</v>
      </c>
      <c r="T696" s="118">
        <f t="shared" si="137"/>
        <v>0</v>
      </c>
      <c r="U696" s="238"/>
      <c r="V696" s="238"/>
    </row>
    <row r="697" spans="1:35" s="23" customFormat="1" ht="22.5" customHeight="1" x14ac:dyDescent="0.25">
      <c r="A697" s="25">
        <v>1</v>
      </c>
      <c r="B697" s="37" t="s">
        <v>418</v>
      </c>
      <c r="C697" s="75">
        <f t="shared" ref="C697:C698" si="138">D697+K697+L697+M697+N697+O697+P697+Q697+R697+S697+T697</f>
        <v>13616949.17</v>
      </c>
      <c r="D697" s="75">
        <f t="shared" ref="D697:D698" si="139">SUM(E697:I697)</f>
        <v>0</v>
      </c>
      <c r="E697" s="87">
        <v>0</v>
      </c>
      <c r="F697" s="75">
        <v>0</v>
      </c>
      <c r="G697" s="75">
        <v>0</v>
      </c>
      <c r="H697" s="87">
        <v>0</v>
      </c>
      <c r="I697" s="75">
        <v>0</v>
      </c>
      <c r="J697" s="152">
        <v>0</v>
      </c>
      <c r="K697" s="87">
        <v>0</v>
      </c>
      <c r="L697" s="87">
        <v>0</v>
      </c>
      <c r="M697" s="75">
        <v>0</v>
      </c>
      <c r="N697" s="75">
        <v>13331651.85</v>
      </c>
      <c r="O697" s="87">
        <v>0</v>
      </c>
      <c r="P697" s="87">
        <v>0</v>
      </c>
      <c r="Q697" s="75">
        <v>0</v>
      </c>
      <c r="R697" s="75">
        <v>285297.32</v>
      </c>
      <c r="S697" s="75">
        <v>0</v>
      </c>
      <c r="T697" s="75">
        <v>0</v>
      </c>
      <c r="U697" s="239"/>
      <c r="V697" s="239"/>
    </row>
    <row r="698" spans="1:35" s="44" customFormat="1" ht="21.6" customHeight="1" x14ac:dyDescent="0.25">
      <c r="A698" s="25">
        <v>2</v>
      </c>
      <c r="B698" s="26" t="s">
        <v>428</v>
      </c>
      <c r="C698" s="75">
        <f t="shared" si="138"/>
        <v>5349744.7699999996</v>
      </c>
      <c r="D698" s="75">
        <f t="shared" si="139"/>
        <v>0</v>
      </c>
      <c r="E698" s="87">
        <v>0</v>
      </c>
      <c r="F698" s="87">
        <v>0</v>
      </c>
      <c r="G698" s="75">
        <v>0</v>
      </c>
      <c r="H698" s="87">
        <v>0</v>
      </c>
      <c r="I698" s="75">
        <v>0</v>
      </c>
      <c r="J698" s="152">
        <v>0</v>
      </c>
      <c r="K698" s="75">
        <v>0</v>
      </c>
      <c r="L698" s="87">
        <v>5349744.7699999996</v>
      </c>
      <c r="M698" s="75">
        <v>0</v>
      </c>
      <c r="N698" s="75">
        <v>0</v>
      </c>
      <c r="O698" s="75">
        <v>0</v>
      </c>
      <c r="P698" s="87">
        <v>0</v>
      </c>
      <c r="Q698" s="75">
        <v>0</v>
      </c>
      <c r="R698" s="75">
        <v>0</v>
      </c>
      <c r="S698" s="75">
        <v>0</v>
      </c>
      <c r="T698" s="75">
        <v>0</v>
      </c>
      <c r="U698" s="238"/>
      <c r="V698" s="238"/>
      <c r="W698" s="238"/>
    </row>
    <row r="699" spans="1:35" s="23" customFormat="1" ht="23.45" customHeight="1" x14ac:dyDescent="0.25">
      <c r="A699" s="322" t="s">
        <v>430</v>
      </c>
      <c r="B699" s="322"/>
      <c r="C699" s="119">
        <f t="shared" ref="C699:T699" si="140">SUM(C700:C706)</f>
        <v>69476166.739999995</v>
      </c>
      <c r="D699" s="119">
        <f t="shared" si="140"/>
        <v>8641084.1699999999</v>
      </c>
      <c r="E699" s="119">
        <f t="shared" si="140"/>
        <v>2068110.8</v>
      </c>
      <c r="F699" s="119">
        <f t="shared" si="140"/>
        <v>1449740.25</v>
      </c>
      <c r="G699" s="119">
        <f t="shared" si="140"/>
        <v>2506091.3200000003</v>
      </c>
      <c r="H699" s="119">
        <f t="shared" si="140"/>
        <v>1628180.74</v>
      </c>
      <c r="I699" s="119">
        <f t="shared" si="140"/>
        <v>988961.06</v>
      </c>
      <c r="J699" s="119">
        <f t="shared" si="140"/>
        <v>0</v>
      </c>
      <c r="K699" s="119">
        <f t="shared" si="140"/>
        <v>0</v>
      </c>
      <c r="L699" s="119">
        <f t="shared" si="140"/>
        <v>16439502.859999999</v>
      </c>
      <c r="M699" s="119">
        <f t="shared" si="140"/>
        <v>0</v>
      </c>
      <c r="N699" s="119">
        <f t="shared" si="140"/>
        <v>0</v>
      </c>
      <c r="O699" s="119">
        <f t="shared" si="140"/>
        <v>0</v>
      </c>
      <c r="P699" s="119">
        <f t="shared" si="140"/>
        <v>2729498</v>
      </c>
      <c r="Q699" s="119">
        <f t="shared" si="140"/>
        <v>0</v>
      </c>
      <c r="R699" s="119">
        <f t="shared" si="140"/>
        <v>1398451.81</v>
      </c>
      <c r="S699" s="119">
        <f t="shared" si="140"/>
        <v>40267629.899999999</v>
      </c>
      <c r="T699" s="119">
        <f t="shared" si="140"/>
        <v>0</v>
      </c>
      <c r="U699" s="238"/>
      <c r="V699" s="238"/>
    </row>
    <row r="700" spans="1:35" s="23" customFormat="1" ht="23.45" customHeight="1" x14ac:dyDescent="0.25">
      <c r="A700" s="25">
        <v>1</v>
      </c>
      <c r="B700" s="37" t="s">
        <v>1286</v>
      </c>
      <c r="C700" s="75">
        <f t="shared" ref="C700:C706" si="141">D700+K700+L700+M700+N700+O700+P700+Q700+R700+S700+T700</f>
        <v>24032694.039999999</v>
      </c>
      <c r="D700" s="75">
        <f t="shared" ref="D700:D706" si="142">SUM(E700:I700)</f>
        <v>0</v>
      </c>
      <c r="E700" s="75">
        <v>0</v>
      </c>
      <c r="F700" s="75">
        <v>0</v>
      </c>
      <c r="G700" s="75">
        <v>0</v>
      </c>
      <c r="H700" s="75">
        <v>0</v>
      </c>
      <c r="I700" s="75">
        <v>0</v>
      </c>
      <c r="J700" s="152">
        <v>0</v>
      </c>
      <c r="K700" s="75">
        <v>0</v>
      </c>
      <c r="L700" s="87">
        <v>0</v>
      </c>
      <c r="M700" s="75">
        <v>0</v>
      </c>
      <c r="N700" s="75">
        <v>0</v>
      </c>
      <c r="O700" s="75">
        <v>0</v>
      </c>
      <c r="P700" s="87">
        <f>350382</f>
        <v>350382</v>
      </c>
      <c r="Q700" s="75">
        <v>0</v>
      </c>
      <c r="R700" s="75">
        <v>496183.14</v>
      </c>
      <c r="S700" s="87">
        <v>23186128.899999999</v>
      </c>
      <c r="T700" s="75">
        <v>0</v>
      </c>
      <c r="U700" s="239"/>
      <c r="V700" s="239"/>
      <c r="W700" s="44"/>
      <c r="X700" s="44"/>
      <c r="Y700" s="44"/>
      <c r="Z700" s="44"/>
      <c r="AA700" s="44"/>
      <c r="AB700" s="44"/>
      <c r="AC700" s="44"/>
      <c r="AD700" s="44"/>
      <c r="AE700" s="44"/>
      <c r="AF700" s="44"/>
      <c r="AG700" s="44"/>
      <c r="AH700" s="44"/>
      <c r="AI700" s="44"/>
    </row>
    <row r="701" spans="1:35" s="44" customFormat="1" ht="23.45" customHeight="1" x14ac:dyDescent="0.25">
      <c r="A701" s="25">
        <v>2</v>
      </c>
      <c r="B701" s="37" t="s">
        <v>432</v>
      </c>
      <c r="C701" s="75">
        <f t="shared" si="141"/>
        <v>17447045.120000001</v>
      </c>
      <c r="D701" s="75">
        <f t="shared" si="142"/>
        <v>0</v>
      </c>
      <c r="E701" s="75">
        <v>0</v>
      </c>
      <c r="F701" s="75">
        <v>0</v>
      </c>
      <c r="G701" s="75">
        <v>0</v>
      </c>
      <c r="H701" s="75">
        <v>0</v>
      </c>
      <c r="I701" s="75">
        <v>0</v>
      </c>
      <c r="J701" s="152">
        <v>0</v>
      </c>
      <c r="K701" s="75">
        <v>0</v>
      </c>
      <c r="L701" s="87">
        <v>0</v>
      </c>
      <c r="M701" s="75">
        <v>0</v>
      </c>
      <c r="N701" s="75">
        <v>0</v>
      </c>
      <c r="O701" s="75">
        <v>0</v>
      </c>
      <c r="P701" s="87">
        <v>0</v>
      </c>
      <c r="Q701" s="75">
        <v>0</v>
      </c>
      <c r="R701" s="75">
        <v>365544.12</v>
      </c>
      <c r="S701" s="75">
        <v>17081501</v>
      </c>
      <c r="T701" s="75">
        <v>0</v>
      </c>
      <c r="U701" s="239"/>
      <c r="V701" s="239"/>
    </row>
    <row r="702" spans="1:35" s="44" customFormat="1" ht="23.45" customHeight="1" x14ac:dyDescent="0.25">
      <c r="A702" s="25">
        <v>3</v>
      </c>
      <c r="B702" s="37" t="s">
        <v>433</v>
      </c>
      <c r="C702" s="75">
        <f t="shared" si="141"/>
        <v>2559721.6700000004</v>
      </c>
      <c r="D702" s="75">
        <f t="shared" si="142"/>
        <v>2506091.3200000003</v>
      </c>
      <c r="E702" s="75">
        <v>0</v>
      </c>
      <c r="F702" s="75">
        <v>0</v>
      </c>
      <c r="G702" s="87">
        <v>2506091.3200000003</v>
      </c>
      <c r="H702" s="75">
        <v>0</v>
      </c>
      <c r="I702" s="75">
        <v>0</v>
      </c>
      <c r="J702" s="152">
        <v>0</v>
      </c>
      <c r="K702" s="75">
        <v>0</v>
      </c>
      <c r="L702" s="75">
        <v>0</v>
      </c>
      <c r="M702" s="75">
        <v>0</v>
      </c>
      <c r="N702" s="75">
        <v>0</v>
      </c>
      <c r="O702" s="75">
        <v>0</v>
      </c>
      <c r="P702" s="87">
        <v>0</v>
      </c>
      <c r="Q702" s="75">
        <v>0</v>
      </c>
      <c r="R702" s="75">
        <v>53630.35</v>
      </c>
      <c r="S702" s="75">
        <v>0</v>
      </c>
      <c r="T702" s="75">
        <v>0</v>
      </c>
      <c r="U702" s="238"/>
      <c r="V702" s="238"/>
    </row>
    <row r="703" spans="1:35" s="44" customFormat="1" ht="23.45" customHeight="1" x14ac:dyDescent="0.25">
      <c r="A703" s="25">
        <v>4</v>
      </c>
      <c r="B703" s="37" t="s">
        <v>1287</v>
      </c>
      <c r="C703" s="75">
        <f t="shared" si="141"/>
        <v>1746358.69</v>
      </c>
      <c r="D703" s="75">
        <f t="shared" si="142"/>
        <v>1449740.25</v>
      </c>
      <c r="E703" s="87">
        <v>0</v>
      </c>
      <c r="F703" s="75">
        <v>1449740.25</v>
      </c>
      <c r="G703" s="75">
        <v>0</v>
      </c>
      <c r="H703" s="87">
        <v>0</v>
      </c>
      <c r="I703" s="87">
        <v>0</v>
      </c>
      <c r="J703" s="152">
        <v>0</v>
      </c>
      <c r="K703" s="75">
        <v>0</v>
      </c>
      <c r="L703" s="75">
        <v>0</v>
      </c>
      <c r="M703" s="75">
        <v>0</v>
      </c>
      <c r="N703" s="75">
        <v>0</v>
      </c>
      <c r="O703" s="75">
        <v>0</v>
      </c>
      <c r="P703" s="75">
        <v>265594</v>
      </c>
      <c r="Q703" s="75">
        <v>0</v>
      </c>
      <c r="R703" s="75">
        <v>31024.44</v>
      </c>
      <c r="S703" s="75">
        <v>0</v>
      </c>
      <c r="T703" s="75">
        <v>0</v>
      </c>
      <c r="U703" s="243"/>
      <c r="V703" s="243"/>
      <c r="W703" s="40"/>
      <c r="X703" s="40"/>
      <c r="Y703" s="40"/>
      <c r="Z703" s="40"/>
      <c r="AA703" s="40"/>
      <c r="AB703" s="40"/>
      <c r="AC703" s="40"/>
      <c r="AD703" s="40"/>
      <c r="AE703" s="40"/>
      <c r="AF703" s="40"/>
      <c r="AG703" s="40"/>
      <c r="AH703" s="40"/>
      <c r="AI703" s="40"/>
    </row>
    <row r="704" spans="1:35" s="44" customFormat="1" ht="23.45" customHeight="1" x14ac:dyDescent="0.25">
      <c r="A704" s="25">
        <v>5</v>
      </c>
      <c r="B704" s="37" t="s">
        <v>1288</v>
      </c>
      <c r="C704" s="75">
        <f t="shared" si="141"/>
        <v>265594</v>
      </c>
      <c r="D704" s="75">
        <f t="shared" si="142"/>
        <v>0</v>
      </c>
      <c r="E704" s="87">
        <v>0</v>
      </c>
      <c r="F704" s="75">
        <v>0</v>
      </c>
      <c r="G704" s="75">
        <v>0</v>
      </c>
      <c r="H704" s="87">
        <v>0</v>
      </c>
      <c r="I704" s="87">
        <v>0</v>
      </c>
      <c r="J704" s="152">
        <v>0</v>
      </c>
      <c r="K704" s="75">
        <v>0</v>
      </c>
      <c r="L704" s="75">
        <v>0</v>
      </c>
      <c r="M704" s="75">
        <v>0</v>
      </c>
      <c r="N704" s="75">
        <v>0</v>
      </c>
      <c r="O704" s="75">
        <v>0</v>
      </c>
      <c r="P704" s="75">
        <v>265594</v>
      </c>
      <c r="Q704" s="75">
        <v>0</v>
      </c>
      <c r="R704" s="75">
        <v>0</v>
      </c>
      <c r="S704" s="75">
        <v>0</v>
      </c>
      <c r="T704" s="75">
        <v>0</v>
      </c>
      <c r="U704" s="243"/>
      <c r="V704" s="243"/>
      <c r="W704" s="40"/>
      <c r="X704" s="40"/>
      <c r="Y704" s="40"/>
      <c r="Z704" s="40"/>
      <c r="AA704" s="40"/>
      <c r="AB704" s="40"/>
      <c r="AC704" s="40"/>
      <c r="AD704" s="40"/>
      <c r="AE704" s="40"/>
      <c r="AF704" s="40"/>
      <c r="AG704" s="40"/>
      <c r="AH704" s="40"/>
      <c r="AI704" s="40"/>
    </row>
    <row r="705" spans="1:35" s="44" customFormat="1" ht="23.45" customHeight="1" x14ac:dyDescent="0.25">
      <c r="A705" s="25">
        <v>6</v>
      </c>
      <c r="B705" s="37" t="s">
        <v>1289</v>
      </c>
      <c r="C705" s="75">
        <f t="shared" si="141"/>
        <v>19488344.509999998</v>
      </c>
      <c r="D705" s="75">
        <f t="shared" si="142"/>
        <v>1611406.2000000002</v>
      </c>
      <c r="E705" s="75">
        <v>0</v>
      </c>
      <c r="F705" s="75">
        <v>0</v>
      </c>
      <c r="G705" s="75">
        <v>0</v>
      </c>
      <c r="H705" s="75">
        <v>622445.14</v>
      </c>
      <c r="I705" s="75">
        <v>988961.06</v>
      </c>
      <c r="J705" s="152">
        <v>0</v>
      </c>
      <c r="K705" s="75">
        <v>0</v>
      </c>
      <c r="L705" s="87">
        <v>16439502.859999999</v>
      </c>
      <c r="M705" s="75">
        <v>0</v>
      </c>
      <c r="N705" s="75">
        <v>0</v>
      </c>
      <c r="O705" s="75">
        <v>0</v>
      </c>
      <c r="P705" s="87">
        <f>350382+350382+350382</f>
        <v>1051146</v>
      </c>
      <c r="Q705" s="75">
        <v>0</v>
      </c>
      <c r="R705" s="75">
        <f>13320.32+21163.77+351805.36</f>
        <v>386289.44999999995</v>
      </c>
      <c r="S705" s="87">
        <v>0</v>
      </c>
      <c r="T705" s="75">
        <v>0</v>
      </c>
      <c r="U705" s="239"/>
      <c r="V705" s="239"/>
    </row>
    <row r="706" spans="1:35" s="44" customFormat="1" ht="23.45" customHeight="1" x14ac:dyDescent="0.25">
      <c r="A706" s="25">
        <v>7</v>
      </c>
      <c r="B706" s="37" t="s">
        <v>1290</v>
      </c>
      <c r="C706" s="75">
        <f t="shared" si="141"/>
        <v>3936408.71</v>
      </c>
      <c r="D706" s="75">
        <f t="shared" si="142"/>
        <v>3073846.4</v>
      </c>
      <c r="E706" s="75">
        <v>2068110.8</v>
      </c>
      <c r="F706" s="75">
        <v>0</v>
      </c>
      <c r="G706" s="87">
        <v>0</v>
      </c>
      <c r="H706" s="75">
        <v>1005735.6</v>
      </c>
      <c r="I706" s="75">
        <v>0</v>
      </c>
      <c r="J706" s="152">
        <v>0</v>
      </c>
      <c r="K706" s="75">
        <v>0</v>
      </c>
      <c r="L706" s="75">
        <v>0</v>
      </c>
      <c r="M706" s="75">
        <v>0</v>
      </c>
      <c r="N706" s="75">
        <v>0</v>
      </c>
      <c r="O706" s="75">
        <v>0</v>
      </c>
      <c r="P706" s="87">
        <f>265594+265594+265594</f>
        <v>796782</v>
      </c>
      <c r="Q706" s="75">
        <v>0</v>
      </c>
      <c r="R706" s="75">
        <f>44257.57+21522.74</f>
        <v>65780.31</v>
      </c>
      <c r="S706" s="75">
        <v>0</v>
      </c>
      <c r="T706" s="75">
        <v>0</v>
      </c>
      <c r="U706" s="238"/>
      <c r="V706" s="238"/>
    </row>
    <row r="707" spans="1:35" s="186" customFormat="1" ht="22.5" customHeight="1" x14ac:dyDescent="0.25">
      <c r="A707" s="322" t="s">
        <v>436</v>
      </c>
      <c r="B707" s="322"/>
      <c r="C707" s="118">
        <f t="shared" ref="C707:T707" si="143">SUM(C708:C730)</f>
        <v>303435228.97999996</v>
      </c>
      <c r="D707" s="118">
        <f t="shared" si="143"/>
        <v>7775535.0800000001</v>
      </c>
      <c r="E707" s="118">
        <f t="shared" si="143"/>
        <v>3084308.98</v>
      </c>
      <c r="F707" s="118">
        <f t="shared" si="143"/>
        <v>4691226.0999999996</v>
      </c>
      <c r="G707" s="118">
        <f t="shared" si="143"/>
        <v>0</v>
      </c>
      <c r="H707" s="118">
        <f t="shared" si="143"/>
        <v>0</v>
      </c>
      <c r="I707" s="118">
        <f t="shared" si="143"/>
        <v>0</v>
      </c>
      <c r="J707" s="119">
        <f t="shared" si="143"/>
        <v>0</v>
      </c>
      <c r="K707" s="118">
        <f t="shared" si="143"/>
        <v>0</v>
      </c>
      <c r="L707" s="118">
        <f t="shared" si="143"/>
        <v>60638977.399999999</v>
      </c>
      <c r="M707" s="118">
        <f t="shared" si="143"/>
        <v>0</v>
      </c>
      <c r="N707" s="118">
        <f t="shared" si="143"/>
        <v>0</v>
      </c>
      <c r="O707" s="118">
        <f t="shared" si="143"/>
        <v>0</v>
      </c>
      <c r="P707" s="118">
        <f t="shared" si="143"/>
        <v>7289626.4800000004</v>
      </c>
      <c r="Q707" s="118">
        <f t="shared" si="143"/>
        <v>0</v>
      </c>
      <c r="R707" s="118">
        <f t="shared" si="143"/>
        <v>6204734.5200000005</v>
      </c>
      <c r="S707" s="118">
        <f t="shared" si="143"/>
        <v>221526355.5</v>
      </c>
      <c r="T707" s="118">
        <f t="shared" si="143"/>
        <v>0</v>
      </c>
      <c r="U707" s="238"/>
      <c r="V707" s="238"/>
    </row>
    <row r="708" spans="1:35" s="186" customFormat="1" ht="22.5" customHeight="1" x14ac:dyDescent="0.25">
      <c r="A708" s="25">
        <v>1</v>
      </c>
      <c r="B708" s="37" t="s">
        <v>1291</v>
      </c>
      <c r="C708" s="75">
        <f t="shared" ref="C708:C730" si="144">D708+K708+L708+M708+N708+O708+P708+Q708+R708+S708+T708</f>
        <v>2881614.3</v>
      </c>
      <c r="D708" s="75">
        <f t="shared" ref="D708:D730" si="145">SUM(E708:I708)</f>
        <v>0</v>
      </c>
      <c r="E708" s="75">
        <v>0</v>
      </c>
      <c r="F708" s="75">
        <v>0</v>
      </c>
      <c r="G708" s="75">
        <v>0</v>
      </c>
      <c r="H708" s="75">
        <v>0</v>
      </c>
      <c r="I708" s="75">
        <v>0</v>
      </c>
      <c r="J708" s="152">
        <v>0</v>
      </c>
      <c r="K708" s="75">
        <v>0</v>
      </c>
      <c r="L708" s="87">
        <v>2561210.4</v>
      </c>
      <c r="M708" s="75">
        <v>0</v>
      </c>
      <c r="N708" s="87">
        <v>0</v>
      </c>
      <c r="O708" s="75">
        <v>0</v>
      </c>
      <c r="P708" s="87">
        <v>265594</v>
      </c>
      <c r="Q708" s="75">
        <v>0</v>
      </c>
      <c r="R708" s="75">
        <v>54809.9</v>
      </c>
      <c r="S708" s="75">
        <v>0</v>
      </c>
      <c r="T708" s="75">
        <v>0</v>
      </c>
      <c r="U708" s="238"/>
      <c r="V708" s="238"/>
      <c r="W708" s="44"/>
      <c r="X708" s="44"/>
      <c r="Y708" s="44"/>
      <c r="Z708" s="44"/>
      <c r="AA708" s="44"/>
      <c r="AB708" s="44"/>
      <c r="AC708" s="44"/>
      <c r="AD708" s="44"/>
      <c r="AE708" s="44"/>
      <c r="AF708" s="44"/>
      <c r="AG708" s="44"/>
      <c r="AH708" s="44"/>
      <c r="AI708" s="44"/>
    </row>
    <row r="709" spans="1:35" s="186" customFormat="1" ht="22.5" customHeight="1" x14ac:dyDescent="0.25">
      <c r="A709" s="25">
        <v>2</v>
      </c>
      <c r="B709" s="37" t="s">
        <v>1292</v>
      </c>
      <c r="C709" s="75">
        <f t="shared" si="144"/>
        <v>650454.29</v>
      </c>
      <c r="D709" s="75">
        <f t="shared" si="145"/>
        <v>376796.9</v>
      </c>
      <c r="E709" s="75">
        <v>376796.9</v>
      </c>
      <c r="F709" s="75">
        <v>0</v>
      </c>
      <c r="G709" s="75">
        <v>0</v>
      </c>
      <c r="H709" s="75">
        <v>0</v>
      </c>
      <c r="I709" s="75">
        <v>0</v>
      </c>
      <c r="J709" s="152">
        <v>0</v>
      </c>
      <c r="K709" s="75">
        <v>0</v>
      </c>
      <c r="L709" s="87">
        <v>0</v>
      </c>
      <c r="M709" s="75">
        <v>0</v>
      </c>
      <c r="N709" s="87">
        <v>0</v>
      </c>
      <c r="O709" s="75">
        <v>0</v>
      </c>
      <c r="P709" s="87">
        <v>265594</v>
      </c>
      <c r="Q709" s="75">
        <v>0</v>
      </c>
      <c r="R709" s="75">
        <v>8063.39</v>
      </c>
      <c r="S709" s="75">
        <v>0</v>
      </c>
      <c r="T709" s="75">
        <v>0</v>
      </c>
      <c r="U709" s="238"/>
      <c r="V709" s="238"/>
      <c r="W709" s="44"/>
      <c r="X709" s="44"/>
      <c r="Y709" s="44"/>
      <c r="Z709" s="44"/>
      <c r="AA709" s="44"/>
      <c r="AB709" s="44"/>
      <c r="AC709" s="44"/>
      <c r="AD709" s="44"/>
      <c r="AE709" s="44"/>
      <c r="AF709" s="44"/>
      <c r="AG709" s="44"/>
      <c r="AH709" s="44"/>
      <c r="AI709" s="44"/>
    </row>
    <row r="710" spans="1:35" s="186" customFormat="1" ht="22.5" customHeight="1" x14ac:dyDescent="0.25">
      <c r="A710" s="25">
        <v>3</v>
      </c>
      <c r="B710" s="37" t="s">
        <v>1293</v>
      </c>
      <c r="C710" s="75">
        <f t="shared" si="144"/>
        <v>2343584.79</v>
      </c>
      <c r="D710" s="75">
        <f t="shared" si="145"/>
        <v>994336</v>
      </c>
      <c r="E710" s="75">
        <v>994336</v>
      </c>
      <c r="F710" s="75">
        <v>0</v>
      </c>
      <c r="G710" s="75">
        <v>0</v>
      </c>
      <c r="H710" s="75">
        <v>0</v>
      </c>
      <c r="I710" s="75">
        <v>0</v>
      </c>
      <c r="J710" s="152">
        <v>0</v>
      </c>
      <c r="K710" s="75">
        <v>0</v>
      </c>
      <c r="L710" s="87">
        <v>0</v>
      </c>
      <c r="M710" s="75">
        <v>0</v>
      </c>
      <c r="N710" s="87">
        <v>0</v>
      </c>
      <c r="O710" s="75">
        <v>0</v>
      </c>
      <c r="P710" s="87">
        <f>265594+265594+265594+265594+265594</f>
        <v>1327970</v>
      </c>
      <c r="Q710" s="75">
        <v>0</v>
      </c>
      <c r="R710" s="75">
        <v>21278.79</v>
      </c>
      <c r="S710" s="75">
        <v>0</v>
      </c>
      <c r="T710" s="75">
        <v>0</v>
      </c>
      <c r="U710" s="238"/>
      <c r="V710" s="238"/>
      <c r="W710" s="44"/>
      <c r="X710" s="44"/>
      <c r="Y710" s="44"/>
      <c r="Z710" s="44"/>
      <c r="AA710" s="44"/>
      <c r="AB710" s="44"/>
      <c r="AC710" s="44"/>
      <c r="AD710" s="44"/>
      <c r="AE710" s="44"/>
      <c r="AF710" s="44"/>
      <c r="AG710" s="44"/>
      <c r="AH710" s="44"/>
      <c r="AI710" s="44"/>
    </row>
    <row r="711" spans="1:35" s="186" customFormat="1" ht="22.5" customHeight="1" x14ac:dyDescent="0.25">
      <c r="A711" s="25">
        <v>4</v>
      </c>
      <c r="B711" s="37" t="s">
        <v>1294</v>
      </c>
      <c r="C711" s="75">
        <f t="shared" si="144"/>
        <v>5744324.7700000005</v>
      </c>
      <c r="D711" s="75">
        <f t="shared" si="145"/>
        <v>0</v>
      </c>
      <c r="E711" s="75">
        <v>0</v>
      </c>
      <c r="F711" s="75">
        <v>0</v>
      </c>
      <c r="G711" s="75">
        <v>0</v>
      </c>
      <c r="H711" s="75">
        <v>0</v>
      </c>
      <c r="I711" s="75">
        <v>0</v>
      </c>
      <c r="J711" s="152">
        <v>0</v>
      </c>
      <c r="K711" s="75">
        <v>0</v>
      </c>
      <c r="L711" s="87">
        <v>5363942.4000000004</v>
      </c>
      <c r="M711" s="75">
        <v>0</v>
      </c>
      <c r="N711" s="87">
        <v>0</v>
      </c>
      <c r="O711" s="75">
        <v>0</v>
      </c>
      <c r="P711" s="87">
        <v>265594</v>
      </c>
      <c r="Q711" s="75">
        <v>0</v>
      </c>
      <c r="R711" s="75">
        <v>114788.37</v>
      </c>
      <c r="S711" s="75">
        <v>0</v>
      </c>
      <c r="T711" s="75">
        <v>0</v>
      </c>
      <c r="U711" s="238"/>
      <c r="V711" s="238"/>
      <c r="W711" s="44"/>
      <c r="X711" s="44"/>
      <c r="Y711" s="44"/>
      <c r="Z711" s="44"/>
      <c r="AA711" s="44"/>
      <c r="AB711" s="44"/>
      <c r="AC711" s="44"/>
      <c r="AD711" s="44"/>
      <c r="AE711" s="44"/>
      <c r="AF711" s="44"/>
      <c r="AG711" s="44"/>
      <c r="AH711" s="44"/>
      <c r="AI711" s="44"/>
    </row>
    <row r="712" spans="1:35" s="186" customFormat="1" ht="22.5" customHeight="1" x14ac:dyDescent="0.25">
      <c r="A712" s="25">
        <v>5</v>
      </c>
      <c r="B712" s="37" t="s">
        <v>1295</v>
      </c>
      <c r="C712" s="75">
        <f t="shared" si="144"/>
        <v>3464140.38</v>
      </c>
      <c r="D712" s="75">
        <f t="shared" si="145"/>
        <v>3131531.6</v>
      </c>
      <c r="E712" s="75">
        <v>0</v>
      </c>
      <c r="F712" s="75">
        <v>3131531.6</v>
      </c>
      <c r="G712" s="75">
        <v>0</v>
      </c>
      <c r="H712" s="75">
        <v>0</v>
      </c>
      <c r="I712" s="75">
        <v>0</v>
      </c>
      <c r="J712" s="152">
        <v>0</v>
      </c>
      <c r="K712" s="75">
        <v>0</v>
      </c>
      <c r="L712" s="87">
        <v>0</v>
      </c>
      <c r="M712" s="75">
        <v>0</v>
      </c>
      <c r="N712" s="87">
        <v>0</v>
      </c>
      <c r="O712" s="75">
        <v>0</v>
      </c>
      <c r="P712" s="87">
        <v>265594</v>
      </c>
      <c r="Q712" s="75">
        <v>0</v>
      </c>
      <c r="R712" s="75">
        <v>67014.78</v>
      </c>
      <c r="S712" s="75">
        <v>0</v>
      </c>
      <c r="T712" s="75">
        <v>0</v>
      </c>
      <c r="U712" s="238"/>
      <c r="V712" s="238"/>
      <c r="W712" s="44"/>
      <c r="X712" s="44"/>
      <c r="Y712" s="44"/>
      <c r="Z712" s="44"/>
      <c r="AA712" s="44"/>
      <c r="AB712" s="44"/>
      <c r="AC712" s="44"/>
      <c r="AD712" s="44"/>
      <c r="AE712" s="44"/>
      <c r="AF712" s="44"/>
      <c r="AG712" s="44"/>
      <c r="AH712" s="44"/>
      <c r="AI712" s="44"/>
    </row>
    <row r="713" spans="1:35" s="186" customFormat="1" ht="22.5" customHeight="1" x14ac:dyDescent="0.25">
      <c r="A713" s="25">
        <v>6</v>
      </c>
      <c r="B713" s="37" t="s">
        <v>694</v>
      </c>
      <c r="C713" s="75">
        <f t="shared" si="144"/>
        <v>4558245.0900000008</v>
      </c>
      <c r="D713" s="75">
        <f t="shared" si="145"/>
        <v>0</v>
      </c>
      <c r="E713" s="75">
        <v>0</v>
      </c>
      <c r="F713" s="75">
        <v>0</v>
      </c>
      <c r="G713" s="75">
        <v>0</v>
      </c>
      <c r="H713" s="75">
        <v>0</v>
      </c>
      <c r="I713" s="75">
        <v>0</v>
      </c>
      <c r="J713" s="152">
        <v>0</v>
      </c>
      <c r="K713" s="75">
        <v>0</v>
      </c>
      <c r="L713" s="87">
        <v>4462742.4000000004</v>
      </c>
      <c r="M713" s="75">
        <v>0</v>
      </c>
      <c r="N713" s="87">
        <v>0</v>
      </c>
      <c r="O713" s="75">
        <v>0</v>
      </c>
      <c r="P713" s="87">
        <v>0</v>
      </c>
      <c r="Q713" s="75">
        <v>0</v>
      </c>
      <c r="R713" s="75">
        <v>95502.69</v>
      </c>
      <c r="S713" s="75">
        <v>0</v>
      </c>
      <c r="T713" s="75">
        <v>0</v>
      </c>
      <c r="U713" s="238"/>
      <c r="V713" s="238"/>
      <c r="W713" s="44"/>
      <c r="X713" s="44"/>
      <c r="Y713" s="44"/>
      <c r="Z713" s="44"/>
      <c r="AA713" s="44"/>
      <c r="AB713" s="44"/>
      <c r="AC713" s="44"/>
      <c r="AD713" s="44"/>
      <c r="AE713" s="44"/>
      <c r="AF713" s="44"/>
      <c r="AG713" s="44"/>
      <c r="AH713" s="44"/>
      <c r="AI713" s="44"/>
    </row>
    <row r="714" spans="1:35" s="44" customFormat="1" ht="22.15" customHeight="1" x14ac:dyDescent="0.25">
      <c r="A714" s="25">
        <v>7</v>
      </c>
      <c r="B714" s="37" t="s">
        <v>1296</v>
      </c>
      <c r="C714" s="75">
        <f t="shared" si="144"/>
        <v>3017412.87</v>
      </c>
      <c r="D714" s="75">
        <f t="shared" si="145"/>
        <v>2285046.4</v>
      </c>
      <c r="E714" s="75">
        <v>725351.9</v>
      </c>
      <c r="F714" s="75">
        <v>1559694.5</v>
      </c>
      <c r="G714" s="75">
        <v>0</v>
      </c>
      <c r="H714" s="75">
        <v>0</v>
      </c>
      <c r="I714" s="75">
        <v>0</v>
      </c>
      <c r="J714" s="152">
        <v>0</v>
      </c>
      <c r="K714" s="75">
        <v>0</v>
      </c>
      <c r="L714" s="87">
        <v>0</v>
      </c>
      <c r="M714" s="75">
        <v>0</v>
      </c>
      <c r="N714" s="87">
        <v>0</v>
      </c>
      <c r="O714" s="75">
        <v>0</v>
      </c>
      <c r="P714" s="87">
        <f>152278.48+265594+265594</f>
        <v>683466.48</v>
      </c>
      <c r="Q714" s="75">
        <v>0</v>
      </c>
      <c r="R714" s="75">
        <f>33377.46+15522.53</f>
        <v>48899.99</v>
      </c>
      <c r="S714" s="75">
        <v>0</v>
      </c>
      <c r="T714" s="75">
        <v>0</v>
      </c>
      <c r="U714" s="238"/>
      <c r="V714" s="238"/>
    </row>
    <row r="715" spans="1:35" s="44" customFormat="1" ht="22.15" customHeight="1" x14ac:dyDescent="0.25">
      <c r="A715" s="25">
        <v>8</v>
      </c>
      <c r="B715" s="37" t="s">
        <v>1297</v>
      </c>
      <c r="C715" s="75">
        <f t="shared" si="144"/>
        <v>1540151.62</v>
      </c>
      <c r="D715" s="75">
        <f t="shared" si="145"/>
        <v>987824.18</v>
      </c>
      <c r="E715" s="75">
        <v>987824.18</v>
      </c>
      <c r="F715" s="75">
        <v>0</v>
      </c>
      <c r="G715" s="75">
        <v>0</v>
      </c>
      <c r="H715" s="75">
        <v>0</v>
      </c>
      <c r="I715" s="87">
        <v>0</v>
      </c>
      <c r="J715" s="152">
        <v>0</v>
      </c>
      <c r="K715" s="75">
        <v>0</v>
      </c>
      <c r="L715" s="75">
        <v>0</v>
      </c>
      <c r="M715" s="75">
        <v>0</v>
      </c>
      <c r="N715" s="75">
        <v>0</v>
      </c>
      <c r="O715" s="75">
        <v>0</v>
      </c>
      <c r="P715" s="87">
        <f>265594+265594</f>
        <v>531188</v>
      </c>
      <c r="Q715" s="75">
        <v>0</v>
      </c>
      <c r="R715" s="75">
        <v>21139.439999999999</v>
      </c>
      <c r="S715" s="87">
        <v>0</v>
      </c>
      <c r="T715" s="75">
        <v>0</v>
      </c>
      <c r="U715" s="238"/>
      <c r="V715" s="238"/>
      <c r="W715" s="40"/>
      <c r="X715" s="40"/>
      <c r="Y715" s="40"/>
      <c r="Z715" s="40"/>
      <c r="AA715" s="40"/>
      <c r="AB715" s="40"/>
      <c r="AC715" s="40"/>
      <c r="AD715" s="40"/>
      <c r="AE715" s="40"/>
      <c r="AF715" s="40"/>
      <c r="AG715" s="40"/>
      <c r="AH715" s="40"/>
      <c r="AI715" s="40"/>
    </row>
    <row r="716" spans="1:35" s="44" customFormat="1" ht="22.15" customHeight="1" x14ac:dyDescent="0.25">
      <c r="A716" s="25">
        <v>9</v>
      </c>
      <c r="B716" s="37" t="s">
        <v>1298</v>
      </c>
      <c r="C716" s="75">
        <f t="shared" si="144"/>
        <v>350382</v>
      </c>
      <c r="D716" s="75">
        <f t="shared" si="145"/>
        <v>0</v>
      </c>
      <c r="E716" s="75">
        <v>0</v>
      </c>
      <c r="F716" s="75">
        <v>0</v>
      </c>
      <c r="G716" s="75">
        <v>0</v>
      </c>
      <c r="H716" s="75">
        <v>0</v>
      </c>
      <c r="I716" s="87">
        <v>0</v>
      </c>
      <c r="J716" s="152">
        <v>0</v>
      </c>
      <c r="K716" s="75">
        <v>0</v>
      </c>
      <c r="L716" s="75">
        <v>0</v>
      </c>
      <c r="M716" s="75">
        <v>0</v>
      </c>
      <c r="N716" s="75">
        <v>0</v>
      </c>
      <c r="O716" s="75">
        <v>0</v>
      </c>
      <c r="P716" s="87">
        <v>350382</v>
      </c>
      <c r="Q716" s="75">
        <v>0</v>
      </c>
      <c r="R716" s="75">
        <v>0</v>
      </c>
      <c r="S716" s="87">
        <v>0</v>
      </c>
      <c r="T716" s="75">
        <v>0</v>
      </c>
      <c r="U716" s="238"/>
      <c r="V716" s="238"/>
      <c r="W716" s="40"/>
      <c r="X716" s="40"/>
      <c r="Y716" s="40"/>
      <c r="Z716" s="40"/>
      <c r="AA716" s="40"/>
      <c r="AB716" s="40"/>
      <c r="AC716" s="40"/>
      <c r="AD716" s="40"/>
      <c r="AE716" s="40"/>
      <c r="AF716" s="40"/>
      <c r="AG716" s="40"/>
      <c r="AH716" s="40"/>
      <c r="AI716" s="40"/>
    </row>
    <row r="717" spans="1:35" s="40" customFormat="1" ht="22.5" customHeight="1" x14ac:dyDescent="0.25">
      <c r="A717" s="25">
        <v>10</v>
      </c>
      <c r="B717" s="37" t="s">
        <v>446</v>
      </c>
      <c r="C717" s="75">
        <f t="shared" si="144"/>
        <v>33723765.420000002</v>
      </c>
      <c r="D717" s="75">
        <f t="shared" si="145"/>
        <v>0</v>
      </c>
      <c r="E717" s="75">
        <v>0</v>
      </c>
      <c r="F717" s="75">
        <v>0</v>
      </c>
      <c r="G717" s="75">
        <v>0</v>
      </c>
      <c r="H717" s="75">
        <v>0</v>
      </c>
      <c r="I717" s="87">
        <v>0</v>
      </c>
      <c r="J717" s="152">
        <v>0</v>
      </c>
      <c r="K717" s="75">
        <v>0</v>
      </c>
      <c r="L717" s="75">
        <v>33017197.399999999</v>
      </c>
      <c r="M717" s="75">
        <v>0</v>
      </c>
      <c r="N717" s="75">
        <v>0</v>
      </c>
      <c r="O717" s="75">
        <v>0</v>
      </c>
      <c r="P717" s="87">
        <v>0</v>
      </c>
      <c r="Q717" s="75">
        <v>0</v>
      </c>
      <c r="R717" s="75">
        <v>706568.02</v>
      </c>
      <c r="S717" s="75">
        <v>0</v>
      </c>
      <c r="T717" s="75">
        <v>0</v>
      </c>
      <c r="U717" s="238"/>
      <c r="V717" s="238"/>
    </row>
    <row r="718" spans="1:35" s="40" customFormat="1" ht="22.5" customHeight="1" x14ac:dyDescent="0.25">
      <c r="A718" s="25">
        <v>11</v>
      </c>
      <c r="B718" s="37" t="s">
        <v>1299</v>
      </c>
      <c r="C718" s="75">
        <f t="shared" si="144"/>
        <v>7677344.7000000002</v>
      </c>
      <c r="D718" s="75">
        <f t="shared" si="145"/>
        <v>0</v>
      </c>
      <c r="E718" s="75">
        <v>0</v>
      </c>
      <c r="F718" s="75">
        <v>0</v>
      </c>
      <c r="G718" s="75">
        <v>0</v>
      </c>
      <c r="H718" s="75">
        <v>0</v>
      </c>
      <c r="I718" s="87">
        <v>0</v>
      </c>
      <c r="J718" s="152">
        <v>0</v>
      </c>
      <c r="K718" s="75">
        <v>0</v>
      </c>
      <c r="L718" s="75">
        <v>7256462.4000000004</v>
      </c>
      <c r="M718" s="75">
        <v>0</v>
      </c>
      <c r="N718" s="75">
        <v>0</v>
      </c>
      <c r="O718" s="75">
        <v>0</v>
      </c>
      <c r="P718" s="87">
        <v>265594</v>
      </c>
      <c r="Q718" s="75">
        <v>0</v>
      </c>
      <c r="R718" s="75">
        <v>155288.29999999999</v>
      </c>
      <c r="S718" s="87">
        <v>0</v>
      </c>
      <c r="T718" s="75">
        <v>0</v>
      </c>
      <c r="U718" s="238"/>
      <c r="V718" s="238"/>
    </row>
    <row r="719" spans="1:35" s="40" customFormat="1" ht="22.5" customHeight="1" x14ac:dyDescent="0.25">
      <c r="A719" s="25">
        <v>12</v>
      </c>
      <c r="B719" s="37" t="s">
        <v>1300</v>
      </c>
      <c r="C719" s="75">
        <f t="shared" si="144"/>
        <v>25799634.240000002</v>
      </c>
      <c r="D719" s="75">
        <f t="shared" si="145"/>
        <v>0</v>
      </c>
      <c r="E719" s="75">
        <v>0</v>
      </c>
      <c r="F719" s="75">
        <v>0</v>
      </c>
      <c r="G719" s="75">
        <v>0</v>
      </c>
      <c r="H719" s="75">
        <v>0</v>
      </c>
      <c r="I719" s="87">
        <v>0</v>
      </c>
      <c r="J719" s="152">
        <v>0</v>
      </c>
      <c r="K719" s="75">
        <v>0</v>
      </c>
      <c r="L719" s="75">
        <v>0</v>
      </c>
      <c r="M719" s="75">
        <v>0</v>
      </c>
      <c r="N719" s="75">
        <v>0</v>
      </c>
      <c r="O719" s="75">
        <v>0</v>
      </c>
      <c r="P719" s="87">
        <v>350382</v>
      </c>
      <c r="Q719" s="75">
        <v>0</v>
      </c>
      <c r="R719" s="75">
        <v>533203.43999999994</v>
      </c>
      <c r="S719" s="87">
        <v>24916048.800000001</v>
      </c>
      <c r="T719" s="75">
        <v>0</v>
      </c>
      <c r="U719" s="238"/>
      <c r="V719" s="238"/>
    </row>
    <row r="720" spans="1:35" s="40" customFormat="1" ht="22.5" customHeight="1" x14ac:dyDescent="0.25">
      <c r="A720" s="25">
        <v>13</v>
      </c>
      <c r="B720" s="37" t="s">
        <v>1301</v>
      </c>
      <c r="C720" s="75">
        <f t="shared" si="144"/>
        <v>30065524.32</v>
      </c>
      <c r="D720" s="75">
        <f t="shared" si="145"/>
        <v>0</v>
      </c>
      <c r="E720" s="75">
        <v>0</v>
      </c>
      <c r="F720" s="75">
        <v>0</v>
      </c>
      <c r="G720" s="75">
        <v>0</v>
      </c>
      <c r="H720" s="75">
        <v>0</v>
      </c>
      <c r="I720" s="87">
        <v>0</v>
      </c>
      <c r="J720" s="152">
        <v>0</v>
      </c>
      <c r="K720" s="75">
        <v>0</v>
      </c>
      <c r="L720" s="75">
        <v>0</v>
      </c>
      <c r="M720" s="75">
        <v>0</v>
      </c>
      <c r="N720" s="75">
        <v>0</v>
      </c>
      <c r="O720" s="75">
        <v>0</v>
      </c>
      <c r="P720" s="87">
        <v>350382</v>
      </c>
      <c r="Q720" s="75">
        <v>0</v>
      </c>
      <c r="R720" s="75">
        <v>622580.81999999995</v>
      </c>
      <c r="S720" s="87">
        <v>29092561.5</v>
      </c>
      <c r="T720" s="75">
        <v>0</v>
      </c>
      <c r="U720" s="238"/>
      <c r="V720" s="238"/>
    </row>
    <row r="721" spans="1:39" s="40" customFormat="1" ht="22.5" customHeight="1" x14ac:dyDescent="0.25">
      <c r="A721" s="25">
        <v>14</v>
      </c>
      <c r="B721" s="37" t="s">
        <v>1302</v>
      </c>
      <c r="C721" s="75">
        <f t="shared" si="144"/>
        <v>15830553.4</v>
      </c>
      <c r="D721" s="75">
        <f t="shared" si="145"/>
        <v>0</v>
      </c>
      <c r="E721" s="75">
        <v>0</v>
      </c>
      <c r="F721" s="75">
        <v>0</v>
      </c>
      <c r="G721" s="75">
        <v>0</v>
      </c>
      <c r="H721" s="75">
        <v>0</v>
      </c>
      <c r="I721" s="87">
        <v>0</v>
      </c>
      <c r="J721" s="152">
        <v>0</v>
      </c>
      <c r="K721" s="75">
        <v>0</v>
      </c>
      <c r="L721" s="75">
        <v>0</v>
      </c>
      <c r="M721" s="75">
        <v>0</v>
      </c>
      <c r="N721" s="75">
        <v>0</v>
      </c>
      <c r="O721" s="75">
        <v>0</v>
      </c>
      <c r="P721" s="87">
        <v>350382</v>
      </c>
      <c r="Q721" s="75">
        <v>0</v>
      </c>
      <c r="R721" s="75">
        <v>324334.90000000002</v>
      </c>
      <c r="S721" s="87">
        <v>15155836.5</v>
      </c>
      <c r="T721" s="75">
        <v>0</v>
      </c>
      <c r="U721" s="238"/>
      <c r="V721" s="238"/>
    </row>
    <row r="722" spans="1:39" s="40" customFormat="1" ht="22.5" customHeight="1" x14ac:dyDescent="0.25">
      <c r="A722" s="25">
        <v>15</v>
      </c>
      <c r="B722" s="37" t="s">
        <v>1303</v>
      </c>
      <c r="C722" s="75">
        <f t="shared" si="144"/>
        <v>16452290.92</v>
      </c>
      <c r="D722" s="75">
        <f t="shared" si="145"/>
        <v>0</v>
      </c>
      <c r="E722" s="75">
        <v>0</v>
      </c>
      <c r="F722" s="75">
        <v>0</v>
      </c>
      <c r="G722" s="75">
        <v>0</v>
      </c>
      <c r="H722" s="75">
        <v>0</v>
      </c>
      <c r="I722" s="87">
        <v>0</v>
      </c>
      <c r="J722" s="152">
        <v>0</v>
      </c>
      <c r="K722" s="75">
        <v>0</v>
      </c>
      <c r="L722" s="75">
        <v>0</v>
      </c>
      <c r="M722" s="75">
        <v>0</v>
      </c>
      <c r="N722" s="75">
        <v>0</v>
      </c>
      <c r="O722" s="75">
        <v>0</v>
      </c>
      <c r="P722" s="87">
        <v>350382</v>
      </c>
      <c r="Q722" s="75">
        <v>0</v>
      </c>
      <c r="R722" s="75">
        <v>337361.32</v>
      </c>
      <c r="S722" s="87">
        <v>15764547.6</v>
      </c>
      <c r="T722" s="75">
        <v>0</v>
      </c>
      <c r="U722" s="238"/>
      <c r="V722" s="238"/>
    </row>
    <row r="723" spans="1:39" s="40" customFormat="1" ht="22.5" customHeight="1" x14ac:dyDescent="0.25">
      <c r="A723" s="25">
        <v>16</v>
      </c>
      <c r="B723" s="37" t="s">
        <v>1304</v>
      </c>
      <c r="C723" s="75">
        <f t="shared" si="144"/>
        <v>16392475.279999999</v>
      </c>
      <c r="D723" s="75">
        <f t="shared" si="145"/>
        <v>0</v>
      </c>
      <c r="E723" s="75">
        <v>0</v>
      </c>
      <c r="F723" s="75">
        <v>0</v>
      </c>
      <c r="G723" s="75">
        <v>0</v>
      </c>
      <c r="H723" s="75">
        <v>0</v>
      </c>
      <c r="I723" s="87">
        <v>0</v>
      </c>
      <c r="J723" s="152">
        <v>0</v>
      </c>
      <c r="K723" s="75">
        <v>0</v>
      </c>
      <c r="L723" s="75">
        <v>0</v>
      </c>
      <c r="M723" s="75">
        <v>0</v>
      </c>
      <c r="N723" s="75">
        <v>0</v>
      </c>
      <c r="O723" s="75">
        <v>0</v>
      </c>
      <c r="P723" s="87">
        <v>350382</v>
      </c>
      <c r="Q723" s="75">
        <v>0</v>
      </c>
      <c r="R723" s="75">
        <v>336108.08</v>
      </c>
      <c r="S723" s="87">
        <v>15705985.199999999</v>
      </c>
      <c r="T723" s="75">
        <v>0</v>
      </c>
      <c r="U723" s="238"/>
      <c r="V723" s="238"/>
    </row>
    <row r="724" spans="1:39" s="40" customFormat="1" ht="22.5" customHeight="1" x14ac:dyDescent="0.25">
      <c r="A724" s="25">
        <v>17</v>
      </c>
      <c r="B724" s="37" t="s">
        <v>1305</v>
      </c>
      <c r="C724" s="75">
        <f t="shared" si="144"/>
        <v>20342607.82</v>
      </c>
      <c r="D724" s="75">
        <f t="shared" si="145"/>
        <v>0</v>
      </c>
      <c r="E724" s="75">
        <v>0</v>
      </c>
      <c r="F724" s="75">
        <v>0</v>
      </c>
      <c r="G724" s="75">
        <v>0</v>
      </c>
      <c r="H724" s="75">
        <v>0</v>
      </c>
      <c r="I724" s="87">
        <v>0</v>
      </c>
      <c r="J724" s="152">
        <v>0</v>
      </c>
      <c r="K724" s="75">
        <v>0</v>
      </c>
      <c r="L724" s="75">
        <v>0</v>
      </c>
      <c r="M724" s="75">
        <v>0</v>
      </c>
      <c r="N724" s="75">
        <v>0</v>
      </c>
      <c r="O724" s="75">
        <v>0</v>
      </c>
      <c r="P724" s="87">
        <v>350382</v>
      </c>
      <c r="Q724" s="75">
        <v>0</v>
      </c>
      <c r="R724" s="75">
        <v>418869.82</v>
      </c>
      <c r="S724" s="87">
        <v>19573356</v>
      </c>
      <c r="T724" s="75">
        <v>0</v>
      </c>
      <c r="U724" s="238"/>
      <c r="V724" s="238"/>
    </row>
    <row r="725" spans="1:39" s="40" customFormat="1" ht="22.5" customHeight="1" x14ac:dyDescent="0.25">
      <c r="A725" s="25">
        <v>18</v>
      </c>
      <c r="B725" s="37" t="s">
        <v>1306</v>
      </c>
      <c r="C725" s="75">
        <f t="shared" si="144"/>
        <v>20342607.82</v>
      </c>
      <c r="D725" s="75">
        <f t="shared" si="145"/>
        <v>0</v>
      </c>
      <c r="E725" s="75">
        <v>0</v>
      </c>
      <c r="F725" s="75">
        <v>0</v>
      </c>
      <c r="G725" s="75">
        <v>0</v>
      </c>
      <c r="H725" s="75">
        <v>0</v>
      </c>
      <c r="I725" s="87">
        <v>0</v>
      </c>
      <c r="J725" s="152">
        <v>0</v>
      </c>
      <c r="K725" s="75">
        <v>0</v>
      </c>
      <c r="L725" s="75">
        <v>0</v>
      </c>
      <c r="M725" s="75">
        <v>0</v>
      </c>
      <c r="N725" s="75">
        <v>0</v>
      </c>
      <c r="O725" s="75">
        <v>0</v>
      </c>
      <c r="P725" s="87">
        <v>350382</v>
      </c>
      <c r="Q725" s="75">
        <v>0</v>
      </c>
      <c r="R725" s="75">
        <v>418869.82</v>
      </c>
      <c r="S725" s="87">
        <v>19573356</v>
      </c>
      <c r="T725" s="75">
        <v>0</v>
      </c>
      <c r="U725" s="238"/>
      <c r="V725" s="238"/>
    </row>
    <row r="726" spans="1:39" s="40" customFormat="1" ht="22.5" customHeight="1" x14ac:dyDescent="0.25">
      <c r="A726" s="25">
        <v>19</v>
      </c>
      <c r="B726" s="37" t="s">
        <v>1307</v>
      </c>
      <c r="C726" s="75">
        <f t="shared" si="144"/>
        <v>21301958.59</v>
      </c>
      <c r="D726" s="75">
        <f t="shared" si="145"/>
        <v>0</v>
      </c>
      <c r="E726" s="75">
        <v>0</v>
      </c>
      <c r="F726" s="75">
        <v>0</v>
      </c>
      <c r="G726" s="75">
        <v>0</v>
      </c>
      <c r="H726" s="75">
        <v>0</v>
      </c>
      <c r="I726" s="87">
        <v>0</v>
      </c>
      <c r="J726" s="152">
        <v>0</v>
      </c>
      <c r="K726" s="75">
        <v>0</v>
      </c>
      <c r="L726" s="75">
        <v>0</v>
      </c>
      <c r="M726" s="75">
        <v>0</v>
      </c>
      <c r="N726" s="75">
        <v>0</v>
      </c>
      <c r="O726" s="75">
        <v>0</v>
      </c>
      <c r="P726" s="87">
        <v>350382</v>
      </c>
      <c r="Q726" s="75">
        <v>0</v>
      </c>
      <c r="R726" s="75">
        <v>438969.79</v>
      </c>
      <c r="S726" s="87">
        <v>20512606.800000001</v>
      </c>
      <c r="T726" s="75">
        <v>0</v>
      </c>
      <c r="U726" s="238"/>
      <c r="V726" s="238"/>
    </row>
    <row r="727" spans="1:39" s="40" customFormat="1" ht="22.5" customHeight="1" x14ac:dyDescent="0.25">
      <c r="A727" s="25">
        <v>20</v>
      </c>
      <c r="B727" s="37" t="s">
        <v>449</v>
      </c>
      <c r="C727" s="75">
        <f t="shared" si="144"/>
        <v>20694484.380000003</v>
      </c>
      <c r="D727" s="75">
        <f t="shared" si="145"/>
        <v>0</v>
      </c>
      <c r="E727" s="75">
        <v>0</v>
      </c>
      <c r="F727" s="75">
        <v>0</v>
      </c>
      <c r="G727" s="75">
        <v>0</v>
      </c>
      <c r="H727" s="75">
        <v>0</v>
      </c>
      <c r="I727" s="87">
        <v>0</v>
      </c>
      <c r="J727" s="152">
        <v>0</v>
      </c>
      <c r="K727" s="75">
        <v>0</v>
      </c>
      <c r="L727" s="75">
        <v>0</v>
      </c>
      <c r="M727" s="75">
        <v>0</v>
      </c>
      <c r="N727" s="75">
        <v>0</v>
      </c>
      <c r="O727" s="75">
        <v>0</v>
      </c>
      <c r="P727" s="87">
        <v>0</v>
      </c>
      <c r="Q727" s="75">
        <v>0</v>
      </c>
      <c r="R727" s="75">
        <v>433583.28</v>
      </c>
      <c r="S727" s="87">
        <v>20260901.100000001</v>
      </c>
      <c r="T727" s="75">
        <v>0</v>
      </c>
      <c r="U727" s="238"/>
      <c r="V727" s="238"/>
    </row>
    <row r="728" spans="1:39" s="40" customFormat="1" ht="22.5" customHeight="1" x14ac:dyDescent="0.25">
      <c r="A728" s="25">
        <v>21</v>
      </c>
      <c r="B728" s="37" t="s">
        <v>450</v>
      </c>
      <c r="C728" s="75">
        <f t="shared" si="144"/>
        <v>20918217.870000001</v>
      </c>
      <c r="D728" s="75">
        <f t="shared" si="145"/>
        <v>0</v>
      </c>
      <c r="E728" s="87">
        <v>0</v>
      </c>
      <c r="F728" s="87">
        <v>0</v>
      </c>
      <c r="G728" s="87">
        <v>0</v>
      </c>
      <c r="H728" s="87">
        <v>0</v>
      </c>
      <c r="I728" s="87">
        <v>0</v>
      </c>
      <c r="J728" s="240">
        <v>0</v>
      </c>
      <c r="K728" s="87">
        <v>0</v>
      </c>
      <c r="L728" s="87">
        <v>0</v>
      </c>
      <c r="M728" s="87">
        <v>0</v>
      </c>
      <c r="N728" s="87">
        <v>0</v>
      </c>
      <c r="O728" s="87">
        <v>0</v>
      </c>
      <c r="P728" s="87">
        <v>0</v>
      </c>
      <c r="Q728" s="87">
        <v>0</v>
      </c>
      <c r="R728" s="75">
        <v>438270.87</v>
      </c>
      <c r="S728" s="87">
        <v>20479947</v>
      </c>
      <c r="T728" s="75">
        <v>0</v>
      </c>
      <c r="U728" s="238"/>
      <c r="V728" s="238"/>
    </row>
    <row r="729" spans="1:39" s="40" customFormat="1" ht="22.5" customHeight="1" x14ac:dyDescent="0.25">
      <c r="A729" s="25">
        <v>22</v>
      </c>
      <c r="B729" s="37" t="s">
        <v>451</v>
      </c>
      <c r="C729" s="75">
        <f t="shared" si="144"/>
        <v>20929720.870000001</v>
      </c>
      <c r="D729" s="75">
        <f t="shared" si="145"/>
        <v>0</v>
      </c>
      <c r="E729" s="87">
        <v>0</v>
      </c>
      <c r="F729" s="87">
        <v>0</v>
      </c>
      <c r="G729" s="87">
        <v>0</v>
      </c>
      <c r="H729" s="87">
        <v>0</v>
      </c>
      <c r="I729" s="87">
        <v>0</v>
      </c>
      <c r="J729" s="240">
        <v>0</v>
      </c>
      <c r="K729" s="87">
        <v>0</v>
      </c>
      <c r="L729" s="87">
        <v>0</v>
      </c>
      <c r="M729" s="87">
        <v>0</v>
      </c>
      <c r="N729" s="87">
        <v>0</v>
      </c>
      <c r="O729" s="87">
        <v>0</v>
      </c>
      <c r="P729" s="87">
        <v>0</v>
      </c>
      <c r="Q729" s="87">
        <v>0</v>
      </c>
      <c r="R729" s="75">
        <v>438511.87</v>
      </c>
      <c r="S729" s="87">
        <v>20491209</v>
      </c>
      <c r="T729" s="75">
        <v>0</v>
      </c>
      <c r="U729" s="238"/>
      <c r="V729" s="238"/>
    </row>
    <row r="730" spans="1:39" s="40" customFormat="1" ht="22.5" customHeight="1" x14ac:dyDescent="0.25">
      <c r="A730" s="25">
        <v>23</v>
      </c>
      <c r="B730" s="37" t="s">
        <v>1308</v>
      </c>
      <c r="C730" s="75">
        <f t="shared" si="144"/>
        <v>8413733.2400000002</v>
      </c>
      <c r="D730" s="75">
        <f t="shared" si="145"/>
        <v>0</v>
      </c>
      <c r="E730" s="87">
        <v>0</v>
      </c>
      <c r="F730" s="87">
        <v>0</v>
      </c>
      <c r="G730" s="87">
        <v>0</v>
      </c>
      <c r="H730" s="87">
        <v>0</v>
      </c>
      <c r="I730" s="87">
        <v>0</v>
      </c>
      <c r="J730" s="240">
        <v>0</v>
      </c>
      <c r="K730" s="87">
        <v>0</v>
      </c>
      <c r="L730" s="87">
        <v>7977422.4000000004</v>
      </c>
      <c r="M730" s="87">
        <v>0</v>
      </c>
      <c r="N730" s="87">
        <v>0</v>
      </c>
      <c r="O730" s="87">
        <v>0</v>
      </c>
      <c r="P730" s="87">
        <v>265594</v>
      </c>
      <c r="Q730" s="87">
        <v>0</v>
      </c>
      <c r="R730" s="75">
        <v>170716.84</v>
      </c>
      <c r="S730" s="87">
        <v>0</v>
      </c>
      <c r="T730" s="75">
        <v>0</v>
      </c>
      <c r="U730" s="238"/>
      <c r="V730" s="238"/>
    </row>
    <row r="731" spans="1:39" s="40" customFormat="1" ht="32.25" customHeight="1" x14ac:dyDescent="0.25">
      <c r="A731" s="322" t="s">
        <v>452</v>
      </c>
      <c r="B731" s="322"/>
      <c r="C731" s="118">
        <f t="shared" ref="C731:T731" si="146">SUM(C732:C737)</f>
        <v>35065782.097039998</v>
      </c>
      <c r="D731" s="118">
        <f t="shared" si="146"/>
        <v>1404634.7</v>
      </c>
      <c r="E731" s="118">
        <f t="shared" si="146"/>
        <v>1404634.7</v>
      </c>
      <c r="F731" s="118">
        <f t="shared" si="146"/>
        <v>0</v>
      </c>
      <c r="G731" s="118">
        <f t="shared" si="146"/>
        <v>0</v>
      </c>
      <c r="H731" s="118">
        <f t="shared" si="146"/>
        <v>0</v>
      </c>
      <c r="I731" s="118">
        <f t="shared" si="146"/>
        <v>0</v>
      </c>
      <c r="J731" s="119">
        <f t="shared" si="146"/>
        <v>0</v>
      </c>
      <c r="K731" s="118">
        <f t="shared" si="146"/>
        <v>0</v>
      </c>
      <c r="L731" s="118">
        <f t="shared" si="146"/>
        <v>30966218.149999999</v>
      </c>
      <c r="M731" s="118">
        <f t="shared" si="146"/>
        <v>0</v>
      </c>
      <c r="N731" s="118">
        <f t="shared" si="146"/>
        <v>0</v>
      </c>
      <c r="O731" s="118">
        <f t="shared" si="146"/>
        <v>0</v>
      </c>
      <c r="P731" s="118">
        <f t="shared" si="146"/>
        <v>2002193</v>
      </c>
      <c r="Q731" s="118">
        <f t="shared" si="146"/>
        <v>0</v>
      </c>
      <c r="R731" s="118">
        <f t="shared" si="146"/>
        <v>692736.24704000005</v>
      </c>
      <c r="S731" s="118">
        <f t="shared" si="146"/>
        <v>0</v>
      </c>
      <c r="T731" s="118">
        <f t="shared" si="146"/>
        <v>0</v>
      </c>
      <c r="U731" s="238"/>
      <c r="V731" s="238"/>
      <c r="W731" s="186"/>
      <c r="X731" s="186"/>
      <c r="Y731" s="186"/>
      <c r="Z731" s="186"/>
      <c r="AA731" s="186"/>
      <c r="AB731" s="186"/>
      <c r="AC731" s="186"/>
      <c r="AD731" s="186"/>
      <c r="AE731" s="186"/>
      <c r="AF731" s="186"/>
      <c r="AG731" s="186"/>
      <c r="AH731" s="186"/>
      <c r="AI731" s="186"/>
      <c r="AJ731" s="186"/>
      <c r="AK731" s="186"/>
      <c r="AL731" s="186"/>
      <c r="AM731" s="186"/>
    </row>
    <row r="732" spans="1:39" s="40" customFormat="1" ht="22.5" customHeight="1" x14ac:dyDescent="0.25">
      <c r="A732" s="25">
        <v>1</v>
      </c>
      <c r="B732" s="26" t="s">
        <v>1309</v>
      </c>
      <c r="C732" s="75">
        <f t="shared" ref="C732:C737" si="147">D732+K732+L732+M732+N732+O732+P732+Q732+R732+S732+T732</f>
        <v>7268010.7000000002</v>
      </c>
      <c r="D732" s="75">
        <f t="shared" ref="D732:D737" si="148">SUM(E732:I732)</f>
        <v>0</v>
      </c>
      <c r="E732" s="87">
        <v>0</v>
      </c>
      <c r="F732" s="87">
        <v>0</v>
      </c>
      <c r="G732" s="75">
        <v>0</v>
      </c>
      <c r="H732" s="87">
        <v>0</v>
      </c>
      <c r="I732" s="75">
        <v>0</v>
      </c>
      <c r="J732" s="152">
        <v>0</v>
      </c>
      <c r="K732" s="87">
        <v>0</v>
      </c>
      <c r="L732" s="87">
        <v>6772693.0700000003</v>
      </c>
      <c r="M732" s="75">
        <v>0</v>
      </c>
      <c r="N732" s="75">
        <v>0</v>
      </c>
      <c r="O732" s="75">
        <v>0</v>
      </c>
      <c r="P732" s="180">
        <v>350382</v>
      </c>
      <c r="Q732" s="75">
        <v>0</v>
      </c>
      <c r="R732" s="75">
        <v>144935.63</v>
      </c>
      <c r="S732" s="75">
        <v>0</v>
      </c>
      <c r="T732" s="75">
        <v>0</v>
      </c>
      <c r="U732" s="264"/>
      <c r="V732" s="264"/>
    </row>
    <row r="733" spans="1:39" s="40" customFormat="1" ht="22.5" customHeight="1" x14ac:dyDescent="0.25">
      <c r="A733" s="25">
        <v>2</v>
      </c>
      <c r="B733" s="26" t="s">
        <v>1310</v>
      </c>
      <c r="C733" s="75">
        <f t="shared" si="147"/>
        <v>1700287.88</v>
      </c>
      <c r="D733" s="75">
        <f t="shared" si="148"/>
        <v>1404634.7</v>
      </c>
      <c r="E733" s="87">
        <v>1404634.7</v>
      </c>
      <c r="F733" s="87">
        <v>0</v>
      </c>
      <c r="G733" s="75">
        <v>0</v>
      </c>
      <c r="H733" s="87">
        <v>0</v>
      </c>
      <c r="I733" s="75">
        <v>0</v>
      </c>
      <c r="J733" s="152">
        <v>0</v>
      </c>
      <c r="K733" s="87">
        <v>0</v>
      </c>
      <c r="L733" s="87">
        <v>0</v>
      </c>
      <c r="M733" s="75">
        <v>0</v>
      </c>
      <c r="N733" s="75">
        <v>0</v>
      </c>
      <c r="O733" s="75">
        <v>0</v>
      </c>
      <c r="P733" s="75">
        <v>265594</v>
      </c>
      <c r="Q733" s="75">
        <v>0</v>
      </c>
      <c r="R733" s="75">
        <v>30059.18</v>
      </c>
      <c r="S733" s="75">
        <v>0</v>
      </c>
      <c r="T733" s="75">
        <v>0</v>
      </c>
      <c r="U733" s="264"/>
      <c r="V733" s="264"/>
    </row>
    <row r="734" spans="1:39" s="40" customFormat="1" ht="22.5" customHeight="1" x14ac:dyDescent="0.25">
      <c r="A734" s="25">
        <v>3</v>
      </c>
      <c r="B734" s="26" t="s">
        <v>1311</v>
      </c>
      <c r="C734" s="75">
        <f t="shared" si="147"/>
        <v>11570078.639999999</v>
      </c>
      <c r="D734" s="75">
        <f t="shared" si="148"/>
        <v>0</v>
      </c>
      <c r="E734" s="87">
        <v>0</v>
      </c>
      <c r="F734" s="87">
        <v>0</v>
      </c>
      <c r="G734" s="75">
        <v>0</v>
      </c>
      <c r="H734" s="87">
        <v>0</v>
      </c>
      <c r="I734" s="75">
        <v>0</v>
      </c>
      <c r="J734" s="152">
        <v>0</v>
      </c>
      <c r="K734" s="87">
        <v>0</v>
      </c>
      <c r="L734" s="87">
        <v>11067637.199999999</v>
      </c>
      <c r="M734" s="75">
        <v>0</v>
      </c>
      <c r="N734" s="75">
        <v>0</v>
      </c>
      <c r="O734" s="75">
        <v>0</v>
      </c>
      <c r="P734" s="180">
        <v>265594</v>
      </c>
      <c r="Q734" s="75">
        <v>0</v>
      </c>
      <c r="R734" s="75">
        <v>236847.44</v>
      </c>
      <c r="S734" s="75">
        <v>0</v>
      </c>
      <c r="T734" s="75">
        <v>0</v>
      </c>
      <c r="U734" s="264"/>
      <c r="V734" s="264"/>
    </row>
    <row r="735" spans="1:39" s="40" customFormat="1" ht="22.5" customHeight="1" x14ac:dyDescent="0.25">
      <c r="A735" s="25">
        <v>4</v>
      </c>
      <c r="B735" s="26" t="s">
        <v>1312</v>
      </c>
      <c r="C735" s="75">
        <f t="shared" si="147"/>
        <v>7111153.9500000002</v>
      </c>
      <c r="D735" s="75">
        <f t="shared" si="148"/>
        <v>0</v>
      </c>
      <c r="E735" s="87">
        <v>0</v>
      </c>
      <c r="F735" s="87">
        <v>0</v>
      </c>
      <c r="G735" s="75">
        <v>0</v>
      </c>
      <c r="H735" s="87">
        <v>0</v>
      </c>
      <c r="I735" s="75">
        <v>0</v>
      </c>
      <c r="J735" s="152">
        <v>0</v>
      </c>
      <c r="K735" s="87">
        <v>0</v>
      </c>
      <c r="L735" s="87">
        <v>6702134.2800000003</v>
      </c>
      <c r="M735" s="75">
        <v>0</v>
      </c>
      <c r="N735" s="75">
        <v>0</v>
      </c>
      <c r="O735" s="75">
        <v>0</v>
      </c>
      <c r="P735" s="75">
        <v>265594</v>
      </c>
      <c r="Q735" s="75">
        <v>0</v>
      </c>
      <c r="R735" s="75">
        <v>143425.67000000001</v>
      </c>
      <c r="S735" s="75">
        <v>0</v>
      </c>
      <c r="T735" s="75">
        <v>0</v>
      </c>
      <c r="U735" s="264"/>
      <c r="V735" s="264"/>
    </row>
    <row r="736" spans="1:39" s="40" customFormat="1" ht="22.5" customHeight="1" x14ac:dyDescent="0.25">
      <c r="A736" s="25">
        <v>5</v>
      </c>
      <c r="B736" s="26" t="s">
        <v>1313</v>
      </c>
      <c r="C736" s="75">
        <f t="shared" si="147"/>
        <v>6826815.9270399995</v>
      </c>
      <c r="D736" s="75">
        <f t="shared" si="148"/>
        <v>0</v>
      </c>
      <c r="E736" s="87">
        <v>0</v>
      </c>
      <c r="F736" s="87">
        <v>0</v>
      </c>
      <c r="G736" s="75">
        <v>0</v>
      </c>
      <c r="H736" s="87">
        <v>0</v>
      </c>
      <c r="I736" s="75">
        <v>0</v>
      </c>
      <c r="J736" s="152">
        <v>0</v>
      </c>
      <c r="K736" s="87">
        <v>0</v>
      </c>
      <c r="L736" s="87">
        <v>6423753.5999999996</v>
      </c>
      <c r="M736" s="75">
        <v>0</v>
      </c>
      <c r="N736" s="75">
        <v>0</v>
      </c>
      <c r="O736" s="75">
        <v>0</v>
      </c>
      <c r="P736" s="180">
        <v>265594</v>
      </c>
      <c r="Q736" s="75">
        <v>0</v>
      </c>
      <c r="R736" s="75">
        <v>137468.32704</v>
      </c>
      <c r="S736" s="75">
        <v>0</v>
      </c>
      <c r="T736" s="75">
        <v>0</v>
      </c>
      <c r="U736" s="264"/>
      <c r="V736" s="264"/>
    </row>
    <row r="737" spans="1:35" s="40" customFormat="1" ht="22.5" customHeight="1" x14ac:dyDescent="0.25">
      <c r="A737" s="25">
        <v>6</v>
      </c>
      <c r="B737" s="26" t="s">
        <v>1314</v>
      </c>
      <c r="C737" s="75">
        <f t="shared" si="147"/>
        <v>589435</v>
      </c>
      <c r="D737" s="75">
        <f t="shared" si="148"/>
        <v>0</v>
      </c>
      <c r="E737" s="87">
        <v>0</v>
      </c>
      <c r="F737" s="87">
        <v>0</v>
      </c>
      <c r="G737" s="75">
        <v>0</v>
      </c>
      <c r="H737" s="87">
        <v>0</v>
      </c>
      <c r="I737" s="75">
        <v>0</v>
      </c>
      <c r="J737" s="152">
        <v>0</v>
      </c>
      <c r="K737" s="87">
        <v>0</v>
      </c>
      <c r="L737" s="87">
        <v>0</v>
      </c>
      <c r="M737" s="75">
        <v>0</v>
      </c>
      <c r="N737" s="75">
        <v>0</v>
      </c>
      <c r="O737" s="75">
        <v>0</v>
      </c>
      <c r="P737" s="75">
        <v>589435</v>
      </c>
      <c r="Q737" s="75">
        <v>0</v>
      </c>
      <c r="R737" s="75">
        <v>0</v>
      </c>
      <c r="S737" s="75">
        <v>0</v>
      </c>
      <c r="T737" s="75">
        <v>0</v>
      </c>
      <c r="U737" s="264"/>
      <c r="V737" s="264"/>
    </row>
    <row r="738" spans="1:35" s="23" customFormat="1" ht="24.6" customHeight="1" x14ac:dyDescent="0.2">
      <c r="A738" s="326" t="s">
        <v>465</v>
      </c>
      <c r="B738" s="326"/>
      <c r="C738" s="118">
        <f t="shared" ref="C738:T738" si="149">SUM(C739:C746)</f>
        <v>32736579.219999999</v>
      </c>
      <c r="D738" s="118">
        <f t="shared" si="149"/>
        <v>11006293.299999999</v>
      </c>
      <c r="E738" s="118">
        <f t="shared" si="149"/>
        <v>3330485.2</v>
      </c>
      <c r="F738" s="118">
        <f t="shared" si="149"/>
        <v>5809854.75</v>
      </c>
      <c r="G738" s="118">
        <f t="shared" si="149"/>
        <v>1865953.3499999999</v>
      </c>
      <c r="H738" s="118">
        <f t="shared" si="149"/>
        <v>0</v>
      </c>
      <c r="I738" s="118">
        <f t="shared" si="149"/>
        <v>0</v>
      </c>
      <c r="J738" s="119">
        <f t="shared" si="149"/>
        <v>0</v>
      </c>
      <c r="K738" s="118">
        <f t="shared" si="149"/>
        <v>0</v>
      </c>
      <c r="L738" s="118">
        <f t="shared" si="149"/>
        <v>16906962.600000001</v>
      </c>
      <c r="M738" s="118">
        <f t="shared" si="149"/>
        <v>0</v>
      </c>
      <c r="N738" s="118">
        <f t="shared" si="149"/>
        <v>0</v>
      </c>
      <c r="O738" s="118">
        <f t="shared" si="149"/>
        <v>0</v>
      </c>
      <c r="P738" s="118">
        <f t="shared" si="149"/>
        <v>4249504</v>
      </c>
      <c r="Q738" s="118">
        <f t="shared" si="149"/>
        <v>0</v>
      </c>
      <c r="R738" s="118">
        <f t="shared" si="149"/>
        <v>573819.32000000007</v>
      </c>
      <c r="S738" s="118">
        <f t="shared" si="149"/>
        <v>0</v>
      </c>
      <c r="T738" s="118">
        <f t="shared" si="149"/>
        <v>0</v>
      </c>
    </row>
    <row r="739" spans="1:35" s="44" customFormat="1" ht="24.6" customHeight="1" x14ac:dyDescent="0.25">
      <c r="A739" s="25">
        <v>1</v>
      </c>
      <c r="B739" s="38" t="s">
        <v>1315</v>
      </c>
      <c r="C739" s="75">
        <f t="shared" ref="C739:C746" si="150">D739+K739+L739+M739+N739+O739+P739+Q739+R739+S739+T739</f>
        <v>9820138.75</v>
      </c>
      <c r="D739" s="75">
        <f t="shared" ref="D739:D746" si="151">SUM(E739:I739)</f>
        <v>2811526.9</v>
      </c>
      <c r="E739" s="32">
        <v>0</v>
      </c>
      <c r="F739" s="32">
        <v>2128057.75</v>
      </c>
      <c r="G739" s="32">
        <v>683469.15</v>
      </c>
      <c r="H739" s="32">
        <v>0</v>
      </c>
      <c r="I739" s="32">
        <v>0</v>
      </c>
      <c r="J739" s="35">
        <v>0</v>
      </c>
      <c r="K739" s="32">
        <v>0</v>
      </c>
      <c r="L739" s="32">
        <v>6601740.5999999996</v>
      </c>
      <c r="M739" s="32">
        <v>0</v>
      </c>
      <c r="N739" s="32">
        <v>0</v>
      </c>
      <c r="O739" s="32">
        <v>0</v>
      </c>
      <c r="P739" s="83">
        <v>265594</v>
      </c>
      <c r="Q739" s="32">
        <v>0</v>
      </c>
      <c r="R739" s="29">
        <v>141277.25</v>
      </c>
      <c r="S739" s="32">
        <v>0</v>
      </c>
      <c r="T739" s="32">
        <v>0</v>
      </c>
    </row>
    <row r="740" spans="1:35" s="40" customFormat="1" ht="22.5" customHeight="1" x14ac:dyDescent="0.25">
      <c r="A740" s="25">
        <v>2</v>
      </c>
      <c r="B740" s="38" t="s">
        <v>1316</v>
      </c>
      <c r="C740" s="75">
        <f t="shared" si="150"/>
        <v>2323576.08</v>
      </c>
      <c r="D740" s="75">
        <f t="shared" si="151"/>
        <v>974746.5</v>
      </c>
      <c r="E740" s="87">
        <v>974746.5</v>
      </c>
      <c r="F740" s="87">
        <v>0</v>
      </c>
      <c r="G740" s="87">
        <v>0</v>
      </c>
      <c r="H740" s="87">
        <v>0</v>
      </c>
      <c r="I740" s="87">
        <v>0</v>
      </c>
      <c r="J740" s="240">
        <v>0</v>
      </c>
      <c r="K740" s="87">
        <v>0</v>
      </c>
      <c r="L740" s="87">
        <v>0</v>
      </c>
      <c r="M740" s="87">
        <v>0</v>
      </c>
      <c r="N740" s="87">
        <v>0</v>
      </c>
      <c r="O740" s="87">
        <v>0</v>
      </c>
      <c r="P740" s="87">
        <f>265594+265594+265594+265594+265594</f>
        <v>1327970</v>
      </c>
      <c r="Q740" s="87">
        <v>0</v>
      </c>
      <c r="R740" s="42">
        <v>20859.580000000002</v>
      </c>
      <c r="S740" s="87">
        <v>0</v>
      </c>
      <c r="T740" s="87">
        <v>0</v>
      </c>
      <c r="U740" s="253"/>
      <c r="V740" s="253"/>
    </row>
    <row r="741" spans="1:35" s="40" customFormat="1" ht="33" customHeight="1" x14ac:dyDescent="0.25">
      <c r="A741" s="25">
        <v>3</v>
      </c>
      <c r="B741" s="38" t="s">
        <v>469</v>
      </c>
      <c r="C741" s="75">
        <f t="shared" si="150"/>
        <v>10525753.75</v>
      </c>
      <c r="D741" s="75">
        <f t="shared" si="151"/>
        <v>0</v>
      </c>
      <c r="E741" s="75">
        <v>0</v>
      </c>
      <c r="F741" s="75">
        <v>0</v>
      </c>
      <c r="G741" s="75">
        <v>0</v>
      </c>
      <c r="H741" s="75">
        <v>0</v>
      </c>
      <c r="I741" s="75">
        <v>0</v>
      </c>
      <c r="J741" s="152">
        <v>0</v>
      </c>
      <c r="K741" s="75">
        <v>0</v>
      </c>
      <c r="L741" s="75">
        <v>10305222</v>
      </c>
      <c r="M741" s="75">
        <v>0</v>
      </c>
      <c r="N741" s="75">
        <v>0</v>
      </c>
      <c r="O741" s="75">
        <v>0</v>
      </c>
      <c r="P741" s="87">
        <v>0</v>
      </c>
      <c r="Q741" s="75">
        <v>0</v>
      </c>
      <c r="R741" s="42">
        <v>220531.75</v>
      </c>
      <c r="S741" s="75">
        <v>0</v>
      </c>
      <c r="T741" s="75">
        <v>0</v>
      </c>
      <c r="U741" s="253"/>
      <c r="V741" s="253"/>
    </row>
    <row r="742" spans="1:35" s="40" customFormat="1" ht="24.75" customHeight="1" x14ac:dyDescent="0.25">
      <c r="A742" s="25">
        <v>4</v>
      </c>
      <c r="B742" s="38" t="s">
        <v>1317</v>
      </c>
      <c r="C742" s="75">
        <f t="shared" si="150"/>
        <v>1191751.5899999999</v>
      </c>
      <c r="D742" s="75">
        <f t="shared" si="151"/>
        <v>646723.69999999995</v>
      </c>
      <c r="E742" s="75">
        <v>646723.69999999995</v>
      </c>
      <c r="F742" s="75">
        <v>0</v>
      </c>
      <c r="G742" s="75">
        <v>0</v>
      </c>
      <c r="H742" s="75">
        <v>0</v>
      </c>
      <c r="I742" s="75">
        <v>0</v>
      </c>
      <c r="J742" s="152">
        <v>0</v>
      </c>
      <c r="K742" s="75">
        <v>0</v>
      </c>
      <c r="L742" s="75">
        <v>0</v>
      </c>
      <c r="M742" s="75">
        <v>0</v>
      </c>
      <c r="N742" s="75">
        <v>0</v>
      </c>
      <c r="O742" s="75">
        <v>0</v>
      </c>
      <c r="P742" s="87">
        <f t="shared" ref="P742:P746" si="152">265594+265594</f>
        <v>531188</v>
      </c>
      <c r="Q742" s="75">
        <v>0</v>
      </c>
      <c r="R742" s="42">
        <v>13839.89</v>
      </c>
      <c r="S742" s="75">
        <v>0</v>
      </c>
      <c r="T742" s="75">
        <v>0</v>
      </c>
      <c r="U742" s="253"/>
      <c r="V742" s="253"/>
    </row>
    <row r="743" spans="1:35" s="40" customFormat="1" ht="24.75" customHeight="1" x14ac:dyDescent="0.25">
      <c r="A743" s="25">
        <v>5</v>
      </c>
      <c r="B743" s="38" t="s">
        <v>1318</v>
      </c>
      <c r="C743" s="75">
        <f t="shared" si="150"/>
        <v>1410605.54</v>
      </c>
      <c r="D743" s="75">
        <f t="shared" si="151"/>
        <v>860992.3</v>
      </c>
      <c r="E743" s="75">
        <v>860992.3</v>
      </c>
      <c r="F743" s="75">
        <v>0</v>
      </c>
      <c r="G743" s="75">
        <v>0</v>
      </c>
      <c r="H743" s="75">
        <v>0</v>
      </c>
      <c r="I743" s="75">
        <v>0</v>
      </c>
      <c r="J743" s="152">
        <v>0</v>
      </c>
      <c r="K743" s="75">
        <v>0</v>
      </c>
      <c r="L743" s="75">
        <v>0</v>
      </c>
      <c r="M743" s="75">
        <v>0</v>
      </c>
      <c r="N743" s="75">
        <v>0</v>
      </c>
      <c r="O743" s="75">
        <v>0</v>
      </c>
      <c r="P743" s="87">
        <f t="shared" si="152"/>
        <v>531188</v>
      </c>
      <c r="Q743" s="75">
        <v>0</v>
      </c>
      <c r="R743" s="42">
        <v>18425.240000000002</v>
      </c>
      <c r="S743" s="75">
        <v>0</v>
      </c>
      <c r="T743" s="75">
        <v>0</v>
      </c>
      <c r="U743" s="253"/>
      <c r="V743" s="253"/>
    </row>
    <row r="744" spans="1:35" s="40" customFormat="1" ht="25.5" customHeight="1" x14ac:dyDescent="0.25">
      <c r="A744" s="25">
        <v>6</v>
      </c>
      <c r="B744" s="38" t="s">
        <v>1319</v>
      </c>
      <c r="C744" s="75">
        <f t="shared" si="150"/>
        <v>1397358.39</v>
      </c>
      <c r="D744" s="75">
        <f t="shared" si="151"/>
        <v>848022.7</v>
      </c>
      <c r="E744" s="75">
        <v>848022.7</v>
      </c>
      <c r="F744" s="75">
        <v>0</v>
      </c>
      <c r="G744" s="75">
        <v>0</v>
      </c>
      <c r="H744" s="75">
        <v>0</v>
      </c>
      <c r="I744" s="75">
        <v>0</v>
      </c>
      <c r="J744" s="152">
        <v>0</v>
      </c>
      <c r="K744" s="75">
        <v>0</v>
      </c>
      <c r="L744" s="75">
        <v>0</v>
      </c>
      <c r="M744" s="75">
        <v>0</v>
      </c>
      <c r="N744" s="75">
        <v>0</v>
      </c>
      <c r="O744" s="75">
        <v>0</v>
      </c>
      <c r="P744" s="87">
        <f t="shared" si="152"/>
        <v>531188</v>
      </c>
      <c r="Q744" s="75">
        <v>0</v>
      </c>
      <c r="R744" s="42">
        <v>18147.689999999999</v>
      </c>
      <c r="S744" s="75">
        <v>0</v>
      </c>
      <c r="T744" s="75">
        <v>0</v>
      </c>
      <c r="U744" s="253"/>
      <c r="V744" s="253"/>
    </row>
    <row r="745" spans="1:35" s="40" customFormat="1" ht="25.5" customHeight="1" x14ac:dyDescent="0.25">
      <c r="A745" s="25">
        <v>7</v>
      </c>
      <c r="B745" s="38" t="s">
        <v>1320</v>
      </c>
      <c r="C745" s="75">
        <f t="shared" si="150"/>
        <v>3026233.8600000003</v>
      </c>
      <c r="D745" s="75">
        <f t="shared" si="151"/>
        <v>2424886.7800000003</v>
      </c>
      <c r="E745" s="75">
        <v>0</v>
      </c>
      <c r="F745" s="75">
        <v>1835408.05</v>
      </c>
      <c r="G745" s="75">
        <v>589478.73</v>
      </c>
      <c r="H745" s="75">
        <v>0</v>
      </c>
      <c r="I745" s="75">
        <v>0</v>
      </c>
      <c r="J745" s="152">
        <v>0</v>
      </c>
      <c r="K745" s="75">
        <v>0</v>
      </c>
      <c r="L745" s="75">
        <v>0</v>
      </c>
      <c r="M745" s="75">
        <v>0</v>
      </c>
      <c r="N745" s="75">
        <v>0</v>
      </c>
      <c r="O745" s="75">
        <v>0</v>
      </c>
      <c r="P745" s="87">
        <f t="shared" si="152"/>
        <v>531188</v>
      </c>
      <c r="Q745" s="75">
        <v>0</v>
      </c>
      <c r="R745" s="42">
        <v>70159.08</v>
      </c>
      <c r="S745" s="75">
        <v>0</v>
      </c>
      <c r="T745" s="75">
        <v>0</v>
      </c>
      <c r="U745" s="253"/>
      <c r="V745" s="253"/>
    </row>
    <row r="746" spans="1:35" s="40" customFormat="1" ht="25.5" customHeight="1" x14ac:dyDescent="0.25">
      <c r="A746" s="25">
        <v>8</v>
      </c>
      <c r="B746" s="38" t="s">
        <v>1321</v>
      </c>
      <c r="C746" s="75">
        <f t="shared" si="150"/>
        <v>3041161.26</v>
      </c>
      <c r="D746" s="75">
        <f t="shared" si="151"/>
        <v>2439394.42</v>
      </c>
      <c r="E746" s="75">
        <v>0</v>
      </c>
      <c r="F746" s="75">
        <v>1846388.95</v>
      </c>
      <c r="G746" s="75">
        <v>593005.47</v>
      </c>
      <c r="H746" s="75">
        <v>0</v>
      </c>
      <c r="I746" s="75">
        <v>0</v>
      </c>
      <c r="J746" s="152">
        <v>0</v>
      </c>
      <c r="K746" s="75">
        <v>0</v>
      </c>
      <c r="L746" s="75">
        <v>0</v>
      </c>
      <c r="M746" s="75">
        <v>0</v>
      </c>
      <c r="N746" s="75">
        <v>0</v>
      </c>
      <c r="O746" s="75">
        <v>0</v>
      </c>
      <c r="P746" s="87">
        <f t="shared" si="152"/>
        <v>531188</v>
      </c>
      <c r="Q746" s="75">
        <v>0</v>
      </c>
      <c r="R746" s="42">
        <v>70578.84</v>
      </c>
      <c r="S746" s="75">
        <v>0</v>
      </c>
      <c r="T746" s="75">
        <v>0</v>
      </c>
      <c r="U746" s="253"/>
      <c r="V746" s="253"/>
    </row>
    <row r="747" spans="1:35" s="186" customFormat="1" ht="22.5" customHeight="1" x14ac:dyDescent="0.25">
      <c r="A747" s="322" t="s">
        <v>475</v>
      </c>
      <c r="B747" s="322"/>
      <c r="C747" s="118">
        <f t="shared" ref="C747:T747" si="153">SUM(C748:C751)</f>
        <v>7923893.6899999995</v>
      </c>
      <c r="D747" s="118">
        <f t="shared" si="153"/>
        <v>6457728.2999999998</v>
      </c>
      <c r="E747" s="118">
        <f t="shared" si="153"/>
        <v>1613634.4</v>
      </c>
      <c r="F747" s="118">
        <f t="shared" si="153"/>
        <v>4844093.9000000004</v>
      </c>
      <c r="G747" s="118">
        <f t="shared" si="153"/>
        <v>0</v>
      </c>
      <c r="H747" s="118">
        <f t="shared" si="153"/>
        <v>0</v>
      </c>
      <c r="I747" s="118">
        <f t="shared" si="153"/>
        <v>0</v>
      </c>
      <c r="J747" s="119">
        <f t="shared" si="153"/>
        <v>0</v>
      </c>
      <c r="K747" s="118">
        <f t="shared" si="153"/>
        <v>0</v>
      </c>
      <c r="L747" s="118">
        <f t="shared" si="153"/>
        <v>0</v>
      </c>
      <c r="M747" s="118">
        <f t="shared" si="153"/>
        <v>0</v>
      </c>
      <c r="N747" s="118">
        <f t="shared" si="153"/>
        <v>0</v>
      </c>
      <c r="O747" s="118">
        <f t="shared" si="153"/>
        <v>0</v>
      </c>
      <c r="P747" s="118">
        <f t="shared" si="153"/>
        <v>1327970</v>
      </c>
      <c r="Q747" s="118">
        <f t="shared" si="153"/>
        <v>0</v>
      </c>
      <c r="R747" s="118">
        <f t="shared" si="153"/>
        <v>138195.38999999998</v>
      </c>
      <c r="S747" s="118">
        <f t="shared" si="153"/>
        <v>0</v>
      </c>
      <c r="T747" s="118">
        <f t="shared" si="153"/>
        <v>0</v>
      </c>
      <c r="U747" s="238"/>
      <c r="V747" s="238"/>
    </row>
    <row r="748" spans="1:35" s="186" customFormat="1" ht="22.5" customHeight="1" x14ac:dyDescent="0.25">
      <c r="A748" s="25">
        <v>1</v>
      </c>
      <c r="B748" s="93" t="s">
        <v>1322</v>
      </c>
      <c r="C748" s="75">
        <f t="shared" ref="C748:C751" si="154">D748+K748+L748+M748+N748+O748+P748+Q748+R748+S748+T748</f>
        <v>1180712.3</v>
      </c>
      <c r="D748" s="75">
        <f t="shared" ref="D748:D751" si="155">SUM(E748:I748)</f>
        <v>635915.69999999995</v>
      </c>
      <c r="E748" s="87">
        <v>635915.69999999995</v>
      </c>
      <c r="F748" s="87">
        <v>0</v>
      </c>
      <c r="G748" s="75">
        <v>0</v>
      </c>
      <c r="H748" s="87">
        <v>0</v>
      </c>
      <c r="I748" s="75">
        <v>0</v>
      </c>
      <c r="J748" s="152">
        <v>0</v>
      </c>
      <c r="K748" s="75">
        <v>0</v>
      </c>
      <c r="L748" s="75">
        <v>0</v>
      </c>
      <c r="M748" s="75">
        <v>0</v>
      </c>
      <c r="N748" s="75">
        <v>0</v>
      </c>
      <c r="O748" s="75">
        <v>0</v>
      </c>
      <c r="P748" s="87">
        <f t="shared" ref="P748:P749" si="156">265594+265594</f>
        <v>531188</v>
      </c>
      <c r="Q748" s="75">
        <v>0</v>
      </c>
      <c r="R748" s="75">
        <v>13608.6</v>
      </c>
      <c r="S748" s="75">
        <v>0</v>
      </c>
      <c r="T748" s="75">
        <v>0</v>
      </c>
      <c r="U748" s="254"/>
      <c r="V748" s="254"/>
      <c r="W748" s="40"/>
      <c r="X748" s="40"/>
      <c r="Y748" s="40"/>
      <c r="Z748" s="40"/>
      <c r="AA748" s="40"/>
      <c r="AB748" s="40"/>
      <c r="AC748" s="40"/>
      <c r="AD748" s="40"/>
      <c r="AE748" s="40"/>
      <c r="AF748" s="40"/>
      <c r="AG748" s="40"/>
      <c r="AH748" s="40"/>
      <c r="AI748" s="40"/>
    </row>
    <row r="749" spans="1:35" s="186" customFormat="1" ht="22.5" customHeight="1" x14ac:dyDescent="0.25">
      <c r="A749" s="25">
        <v>2</v>
      </c>
      <c r="B749" s="93" t="s">
        <v>1323</v>
      </c>
      <c r="C749" s="75">
        <f t="shared" si="154"/>
        <v>1529829.88</v>
      </c>
      <c r="D749" s="75">
        <f t="shared" si="155"/>
        <v>977718.7</v>
      </c>
      <c r="E749" s="87">
        <v>977718.7</v>
      </c>
      <c r="F749" s="87">
        <v>0</v>
      </c>
      <c r="G749" s="75">
        <v>0</v>
      </c>
      <c r="H749" s="87">
        <v>0</v>
      </c>
      <c r="I749" s="75">
        <v>0</v>
      </c>
      <c r="J749" s="152">
        <v>0</v>
      </c>
      <c r="K749" s="75">
        <v>0</v>
      </c>
      <c r="L749" s="75">
        <v>0</v>
      </c>
      <c r="M749" s="75">
        <v>0</v>
      </c>
      <c r="N749" s="75">
        <v>0</v>
      </c>
      <c r="O749" s="75">
        <v>0</v>
      </c>
      <c r="P749" s="87">
        <f t="shared" si="156"/>
        <v>531188</v>
      </c>
      <c r="Q749" s="75">
        <v>0</v>
      </c>
      <c r="R749" s="75">
        <v>20923.18</v>
      </c>
      <c r="S749" s="75">
        <v>0</v>
      </c>
      <c r="T749" s="75">
        <v>0</v>
      </c>
      <c r="U749" s="254"/>
      <c r="V749" s="254"/>
      <c r="W749" s="40"/>
      <c r="X749" s="40"/>
      <c r="Y749" s="40"/>
      <c r="Z749" s="40"/>
      <c r="AA749" s="40"/>
      <c r="AB749" s="40"/>
      <c r="AC749" s="40"/>
      <c r="AD749" s="40"/>
      <c r="AE749" s="40"/>
      <c r="AF749" s="40"/>
      <c r="AG749" s="40"/>
      <c r="AH749" s="40"/>
      <c r="AI749" s="40"/>
    </row>
    <row r="750" spans="1:35" s="186" customFormat="1" ht="22.5" customHeight="1" x14ac:dyDescent="0.25">
      <c r="A750" s="25">
        <v>3</v>
      </c>
      <c r="B750" s="93" t="s">
        <v>1324</v>
      </c>
      <c r="C750" s="75">
        <f t="shared" si="154"/>
        <v>3384686.4899999998</v>
      </c>
      <c r="D750" s="75">
        <f t="shared" si="155"/>
        <v>3053742.4</v>
      </c>
      <c r="E750" s="87">
        <v>0</v>
      </c>
      <c r="F750" s="87">
        <v>3053742.4</v>
      </c>
      <c r="G750" s="75">
        <v>0</v>
      </c>
      <c r="H750" s="87">
        <v>0</v>
      </c>
      <c r="I750" s="75">
        <v>0</v>
      </c>
      <c r="J750" s="152">
        <v>0</v>
      </c>
      <c r="K750" s="75">
        <v>0</v>
      </c>
      <c r="L750" s="75">
        <v>0</v>
      </c>
      <c r="M750" s="75">
        <v>0</v>
      </c>
      <c r="N750" s="75">
        <v>0</v>
      </c>
      <c r="O750" s="75">
        <v>0</v>
      </c>
      <c r="P750" s="87">
        <v>265594</v>
      </c>
      <c r="Q750" s="75">
        <v>0</v>
      </c>
      <c r="R750" s="75">
        <v>65350.09</v>
      </c>
      <c r="S750" s="75">
        <v>0</v>
      </c>
      <c r="T750" s="75">
        <v>0</v>
      </c>
      <c r="U750" s="254"/>
      <c r="V750" s="254"/>
      <c r="W750" s="40"/>
      <c r="X750" s="40"/>
      <c r="Y750" s="40"/>
      <c r="Z750" s="40"/>
      <c r="AA750" s="40"/>
      <c r="AB750" s="40"/>
      <c r="AC750" s="40"/>
      <c r="AD750" s="40"/>
      <c r="AE750" s="40"/>
      <c r="AF750" s="40"/>
      <c r="AG750" s="40"/>
      <c r="AH750" s="40"/>
      <c r="AI750" s="40"/>
    </row>
    <row r="751" spans="1:35" s="40" customFormat="1" ht="22.5" customHeight="1" x14ac:dyDescent="0.25">
      <c r="A751" s="25">
        <v>4</v>
      </c>
      <c r="B751" s="93" t="s">
        <v>480</v>
      </c>
      <c r="C751" s="75">
        <f t="shared" si="154"/>
        <v>1828665.02</v>
      </c>
      <c r="D751" s="75">
        <f t="shared" si="155"/>
        <v>1790351.5</v>
      </c>
      <c r="E751" s="87">
        <v>0</v>
      </c>
      <c r="F751" s="87">
        <v>1790351.5</v>
      </c>
      <c r="G751" s="75">
        <v>0</v>
      </c>
      <c r="H751" s="87">
        <v>0</v>
      </c>
      <c r="I751" s="75">
        <v>0</v>
      </c>
      <c r="J751" s="152">
        <v>0</v>
      </c>
      <c r="K751" s="75">
        <v>0</v>
      </c>
      <c r="L751" s="75">
        <v>0</v>
      </c>
      <c r="M751" s="75">
        <v>0</v>
      </c>
      <c r="N751" s="75">
        <v>0</v>
      </c>
      <c r="O751" s="75">
        <v>0</v>
      </c>
      <c r="P751" s="87">
        <v>0</v>
      </c>
      <c r="Q751" s="75">
        <v>0</v>
      </c>
      <c r="R751" s="75">
        <v>38313.519999999997</v>
      </c>
      <c r="S751" s="75">
        <v>0</v>
      </c>
      <c r="T751" s="75">
        <v>0</v>
      </c>
      <c r="U751" s="254"/>
      <c r="V751" s="254"/>
    </row>
    <row r="752" spans="1:35" s="40" customFormat="1" ht="22.5" customHeight="1" x14ac:dyDescent="0.25">
      <c r="A752" s="322" t="s">
        <v>482</v>
      </c>
      <c r="B752" s="322"/>
      <c r="C752" s="118">
        <f t="shared" ref="C752:T752" si="157">SUM(C753:C754)</f>
        <v>13882208.83</v>
      </c>
      <c r="D752" s="118">
        <f t="shared" si="157"/>
        <v>0</v>
      </c>
      <c r="E752" s="118">
        <f t="shared" si="157"/>
        <v>0</v>
      </c>
      <c r="F752" s="118">
        <f t="shared" si="157"/>
        <v>0</v>
      </c>
      <c r="G752" s="118">
        <f t="shared" si="157"/>
        <v>0</v>
      </c>
      <c r="H752" s="118">
        <f t="shared" si="157"/>
        <v>0</v>
      </c>
      <c r="I752" s="118">
        <f t="shared" si="157"/>
        <v>0</v>
      </c>
      <c r="J752" s="119">
        <f t="shared" si="157"/>
        <v>0</v>
      </c>
      <c r="K752" s="118">
        <f t="shared" si="157"/>
        <v>0</v>
      </c>
      <c r="L752" s="118">
        <f t="shared" si="157"/>
        <v>13213254.029999999</v>
      </c>
      <c r="M752" s="118">
        <f t="shared" si="157"/>
        <v>0</v>
      </c>
      <c r="N752" s="118">
        <f t="shared" si="157"/>
        <v>0</v>
      </c>
      <c r="O752" s="118">
        <f t="shared" si="157"/>
        <v>0</v>
      </c>
      <c r="P752" s="118">
        <f t="shared" si="157"/>
        <v>265594</v>
      </c>
      <c r="Q752" s="118">
        <f t="shared" si="157"/>
        <v>0</v>
      </c>
      <c r="R752" s="118">
        <f t="shared" si="157"/>
        <v>403360.8</v>
      </c>
      <c r="S752" s="118">
        <f t="shared" si="157"/>
        <v>0</v>
      </c>
      <c r="T752" s="118">
        <f t="shared" si="157"/>
        <v>0</v>
      </c>
      <c r="U752" s="238"/>
      <c r="V752" s="238"/>
      <c r="W752" s="186"/>
      <c r="X752" s="186"/>
      <c r="Y752" s="186"/>
      <c r="Z752" s="186"/>
      <c r="AA752" s="186"/>
      <c r="AB752" s="186"/>
      <c r="AC752" s="186"/>
      <c r="AD752" s="186"/>
      <c r="AE752" s="186"/>
      <c r="AF752" s="186"/>
      <c r="AG752" s="186"/>
      <c r="AH752" s="186"/>
      <c r="AI752" s="186"/>
    </row>
    <row r="753" spans="1:39" s="40" customFormat="1" ht="22.5" customHeight="1" x14ac:dyDescent="0.25">
      <c r="A753" s="25">
        <v>1</v>
      </c>
      <c r="B753" s="37" t="s">
        <v>483</v>
      </c>
      <c r="C753" s="75">
        <f t="shared" ref="C753:C754" si="158">D753+K753+L753+M753+N753+O753+P753+Q753+R753+S753+T753</f>
        <v>8729204.0600000005</v>
      </c>
      <c r="D753" s="75">
        <f t="shared" ref="D753:D754" si="159">SUM(E753:I753)</f>
        <v>0</v>
      </c>
      <c r="E753" s="75">
        <v>0</v>
      </c>
      <c r="F753" s="75">
        <v>0</v>
      </c>
      <c r="G753" s="75">
        <v>0</v>
      </c>
      <c r="H753" s="75">
        <v>0</v>
      </c>
      <c r="I753" s="75">
        <v>0</v>
      </c>
      <c r="J753" s="152">
        <v>0</v>
      </c>
      <c r="K753" s="75">
        <v>0</v>
      </c>
      <c r="L753" s="87">
        <v>8428242.5099999998</v>
      </c>
      <c r="M753" s="75">
        <v>0</v>
      </c>
      <c r="N753" s="87">
        <v>0</v>
      </c>
      <c r="O753" s="75">
        <v>0</v>
      </c>
      <c r="P753" s="87">
        <v>0</v>
      </c>
      <c r="Q753" s="75">
        <v>0</v>
      </c>
      <c r="R753" s="75">
        <v>300961.55</v>
      </c>
      <c r="S753" s="75">
        <v>0</v>
      </c>
      <c r="T753" s="75">
        <v>0</v>
      </c>
      <c r="U753" s="243"/>
      <c r="V753" s="243"/>
      <c r="W753" s="186"/>
      <c r="X753" s="186"/>
      <c r="Y753" s="186"/>
      <c r="Z753" s="186"/>
      <c r="AA753" s="186"/>
      <c r="AB753" s="186"/>
      <c r="AC753" s="186"/>
      <c r="AD753" s="186"/>
      <c r="AE753" s="186"/>
      <c r="AF753" s="186"/>
      <c r="AG753" s="186"/>
      <c r="AH753" s="186"/>
      <c r="AI753" s="186"/>
    </row>
    <row r="754" spans="1:39" s="40" customFormat="1" ht="22.5" customHeight="1" x14ac:dyDescent="0.25">
      <c r="A754" s="25">
        <v>2</v>
      </c>
      <c r="B754" s="37" t="s">
        <v>1325</v>
      </c>
      <c r="C754" s="75">
        <f t="shared" si="158"/>
        <v>5153004.7699999996</v>
      </c>
      <c r="D754" s="75">
        <f t="shared" si="159"/>
        <v>0</v>
      </c>
      <c r="E754" s="75">
        <v>0</v>
      </c>
      <c r="F754" s="75">
        <v>0</v>
      </c>
      <c r="G754" s="75">
        <v>0</v>
      </c>
      <c r="H754" s="75">
        <v>0</v>
      </c>
      <c r="I754" s="75">
        <v>0</v>
      </c>
      <c r="J754" s="152">
        <v>0</v>
      </c>
      <c r="K754" s="75">
        <v>0</v>
      </c>
      <c r="L754" s="87">
        <v>4785011.5199999996</v>
      </c>
      <c r="M754" s="75">
        <v>0</v>
      </c>
      <c r="N754" s="87">
        <v>0</v>
      </c>
      <c r="O754" s="75">
        <v>0</v>
      </c>
      <c r="P754" s="87">
        <v>265594</v>
      </c>
      <c r="Q754" s="75">
        <v>0</v>
      </c>
      <c r="R754" s="75">
        <v>102399.25</v>
      </c>
      <c r="S754" s="75">
        <v>0</v>
      </c>
      <c r="T754" s="75">
        <v>0</v>
      </c>
      <c r="U754" s="243"/>
      <c r="V754" s="243"/>
      <c r="W754" s="186"/>
      <c r="X754" s="186"/>
      <c r="Y754" s="186"/>
      <c r="Z754" s="186"/>
      <c r="AA754" s="186"/>
      <c r="AB754" s="186"/>
      <c r="AC754" s="186"/>
      <c r="AD754" s="186"/>
      <c r="AE754" s="186"/>
      <c r="AF754" s="186"/>
      <c r="AG754" s="186"/>
      <c r="AH754" s="186"/>
      <c r="AI754" s="186"/>
    </row>
    <row r="755" spans="1:39" s="40" customFormat="1" ht="22.5" customHeight="1" x14ac:dyDescent="0.25">
      <c r="A755" s="326" t="s">
        <v>485</v>
      </c>
      <c r="B755" s="326"/>
      <c r="C755" s="118">
        <f t="shared" ref="C755:T755" si="160">C756</f>
        <v>14216901.33</v>
      </c>
      <c r="D755" s="118">
        <f t="shared" si="160"/>
        <v>0</v>
      </c>
      <c r="E755" s="118">
        <f t="shared" si="160"/>
        <v>0</v>
      </c>
      <c r="F755" s="118">
        <f t="shared" si="160"/>
        <v>0</v>
      </c>
      <c r="G755" s="118">
        <f t="shared" si="160"/>
        <v>0</v>
      </c>
      <c r="H755" s="118">
        <f t="shared" si="160"/>
        <v>0</v>
      </c>
      <c r="I755" s="118">
        <f t="shared" si="160"/>
        <v>0</v>
      </c>
      <c r="J755" s="119">
        <f t="shared" si="160"/>
        <v>0</v>
      </c>
      <c r="K755" s="118">
        <f t="shared" si="160"/>
        <v>0</v>
      </c>
      <c r="L755" s="118">
        <f t="shared" si="160"/>
        <v>13919034</v>
      </c>
      <c r="M755" s="118">
        <f t="shared" si="160"/>
        <v>0</v>
      </c>
      <c r="N755" s="118">
        <f t="shared" si="160"/>
        <v>0</v>
      </c>
      <c r="O755" s="118">
        <f t="shared" si="160"/>
        <v>0</v>
      </c>
      <c r="P755" s="118">
        <f t="shared" si="160"/>
        <v>0</v>
      </c>
      <c r="Q755" s="118">
        <f t="shared" si="160"/>
        <v>0</v>
      </c>
      <c r="R755" s="118">
        <f t="shared" si="160"/>
        <v>297867.33</v>
      </c>
      <c r="S755" s="118">
        <f t="shared" si="160"/>
        <v>0</v>
      </c>
      <c r="T755" s="118">
        <f t="shared" si="160"/>
        <v>0</v>
      </c>
      <c r="U755" s="238"/>
      <c r="V755" s="238"/>
      <c r="W755" s="186"/>
      <c r="X755" s="186"/>
      <c r="Y755" s="186"/>
      <c r="Z755" s="186"/>
      <c r="AA755" s="186"/>
      <c r="AB755" s="186"/>
      <c r="AC755" s="186"/>
      <c r="AD755" s="186"/>
      <c r="AE755" s="186"/>
      <c r="AF755" s="186"/>
      <c r="AG755" s="186"/>
      <c r="AH755" s="186"/>
      <c r="AI755" s="186"/>
    </row>
    <row r="756" spans="1:39" s="40" customFormat="1" ht="22.5" customHeight="1" x14ac:dyDescent="0.25">
      <c r="A756" s="25">
        <v>1</v>
      </c>
      <c r="B756" s="37" t="s">
        <v>486</v>
      </c>
      <c r="C756" s="75">
        <f>D756+K756+L756+M756+N756+O756+P756+Q756+R756+S756+T756</f>
        <v>14216901.33</v>
      </c>
      <c r="D756" s="75">
        <f>SUM(E756:I756)</f>
        <v>0</v>
      </c>
      <c r="E756" s="87">
        <v>0</v>
      </c>
      <c r="F756" s="75">
        <v>0</v>
      </c>
      <c r="G756" s="75">
        <v>0</v>
      </c>
      <c r="H756" s="75">
        <v>0</v>
      </c>
      <c r="I756" s="87">
        <v>0</v>
      </c>
      <c r="J756" s="152">
        <v>0</v>
      </c>
      <c r="K756" s="75">
        <v>0</v>
      </c>
      <c r="L756" s="87">
        <v>13919034</v>
      </c>
      <c r="M756" s="75">
        <v>0</v>
      </c>
      <c r="N756" s="87">
        <v>0</v>
      </c>
      <c r="O756" s="75">
        <v>0</v>
      </c>
      <c r="P756" s="87">
        <v>0</v>
      </c>
      <c r="Q756" s="75">
        <v>0</v>
      </c>
      <c r="R756" s="75">
        <v>297867.33</v>
      </c>
      <c r="S756" s="75">
        <v>0</v>
      </c>
      <c r="T756" s="75">
        <v>0</v>
      </c>
      <c r="U756" s="243"/>
      <c r="V756" s="243"/>
      <c r="W756" s="186"/>
      <c r="X756" s="186"/>
      <c r="Y756" s="186"/>
      <c r="Z756" s="186"/>
      <c r="AA756" s="186"/>
      <c r="AB756" s="186"/>
      <c r="AC756" s="186"/>
      <c r="AD756" s="186"/>
      <c r="AE756" s="186"/>
      <c r="AF756" s="186"/>
      <c r="AG756" s="186"/>
      <c r="AH756" s="186"/>
      <c r="AI756" s="186"/>
    </row>
    <row r="757" spans="1:39" s="40" customFormat="1" ht="22.5" customHeight="1" x14ac:dyDescent="0.25">
      <c r="A757" s="326" t="s">
        <v>491</v>
      </c>
      <c r="B757" s="326"/>
      <c r="C757" s="118">
        <f t="shared" ref="C757:T757" si="161">SUM(C758:C760)</f>
        <v>48332777.939999998</v>
      </c>
      <c r="D757" s="118">
        <f t="shared" si="161"/>
        <v>3170550.5999999996</v>
      </c>
      <c r="E757" s="118">
        <f t="shared" si="161"/>
        <v>3170550.5999999996</v>
      </c>
      <c r="F757" s="118">
        <f t="shared" si="161"/>
        <v>0</v>
      </c>
      <c r="G757" s="118">
        <f t="shared" si="161"/>
        <v>0</v>
      </c>
      <c r="H757" s="118">
        <f t="shared" si="161"/>
        <v>0</v>
      </c>
      <c r="I757" s="118">
        <f t="shared" si="161"/>
        <v>0</v>
      </c>
      <c r="J757" s="119">
        <f t="shared" si="161"/>
        <v>0</v>
      </c>
      <c r="K757" s="118">
        <f t="shared" si="161"/>
        <v>0</v>
      </c>
      <c r="L757" s="118">
        <f t="shared" si="161"/>
        <v>41747311.100000001</v>
      </c>
      <c r="M757" s="118">
        <f t="shared" si="161"/>
        <v>0</v>
      </c>
      <c r="N757" s="118">
        <f t="shared" si="161"/>
        <v>0</v>
      </c>
      <c r="O757" s="118">
        <f t="shared" si="161"/>
        <v>0</v>
      </c>
      <c r="P757" s="118">
        <f t="shared" si="161"/>
        <v>2453674</v>
      </c>
      <c r="Q757" s="118">
        <f t="shared" si="161"/>
        <v>0</v>
      </c>
      <c r="R757" s="118">
        <f t="shared" si="161"/>
        <v>961242.24</v>
      </c>
      <c r="S757" s="118">
        <f t="shared" si="161"/>
        <v>0</v>
      </c>
      <c r="T757" s="118">
        <f t="shared" si="161"/>
        <v>0</v>
      </c>
      <c r="U757" s="252"/>
      <c r="V757" s="252"/>
      <c r="W757" s="186"/>
      <c r="X757" s="186"/>
      <c r="Y757" s="186"/>
      <c r="Z757" s="186"/>
      <c r="AA757" s="186"/>
      <c r="AB757" s="186"/>
      <c r="AC757" s="186"/>
      <c r="AD757" s="186"/>
      <c r="AE757" s="186"/>
      <c r="AF757" s="186"/>
      <c r="AG757" s="186"/>
      <c r="AH757" s="186"/>
      <c r="AI757" s="186"/>
    </row>
    <row r="758" spans="1:39" s="40" customFormat="1" ht="22.5" customHeight="1" x14ac:dyDescent="0.25">
      <c r="A758" s="25">
        <v>1</v>
      </c>
      <c r="B758" s="37" t="s">
        <v>1326</v>
      </c>
      <c r="C758" s="75">
        <f t="shared" ref="C758:C760" si="162">D758+K758+L758+M758+N758+O758+P758+Q758+R758+S758+T758</f>
        <v>3588782.3799999994</v>
      </c>
      <c r="D758" s="75">
        <f t="shared" ref="D758:D760" si="163">SUM(E758:I758)</f>
        <v>3170550.5999999996</v>
      </c>
      <c r="E758" s="75">
        <v>3170550.5999999996</v>
      </c>
      <c r="F758" s="75">
        <v>0</v>
      </c>
      <c r="G758" s="75">
        <v>0</v>
      </c>
      <c r="H758" s="75">
        <v>0</v>
      </c>
      <c r="I758" s="75">
        <v>0</v>
      </c>
      <c r="J758" s="152">
        <v>0</v>
      </c>
      <c r="K758" s="75">
        <v>0</v>
      </c>
      <c r="L758" s="75">
        <v>0</v>
      </c>
      <c r="M758" s="75">
        <v>0</v>
      </c>
      <c r="N758" s="75">
        <v>0</v>
      </c>
      <c r="O758" s="75">
        <v>0</v>
      </c>
      <c r="P758" s="87">
        <v>350382</v>
      </c>
      <c r="Q758" s="75">
        <v>0</v>
      </c>
      <c r="R758" s="75">
        <v>67849.78</v>
      </c>
      <c r="S758" s="75">
        <v>0</v>
      </c>
      <c r="T758" s="75">
        <v>0</v>
      </c>
      <c r="U758" s="253"/>
      <c r="V758" s="253"/>
    </row>
    <row r="759" spans="1:39" s="40" customFormat="1" ht="22.5" customHeight="1" x14ac:dyDescent="0.25">
      <c r="A759" s="25">
        <v>2</v>
      </c>
      <c r="B759" s="37" t="s">
        <v>1327</v>
      </c>
      <c r="C759" s="75">
        <f t="shared" si="162"/>
        <v>20901221.59</v>
      </c>
      <c r="D759" s="75">
        <f t="shared" si="163"/>
        <v>0</v>
      </c>
      <c r="E759" s="75">
        <v>0</v>
      </c>
      <c r="F759" s="75">
        <v>0</v>
      </c>
      <c r="G759" s="75">
        <v>0</v>
      </c>
      <c r="H759" s="75">
        <v>0</v>
      </c>
      <c r="I759" s="75">
        <v>0</v>
      </c>
      <c r="J759" s="152">
        <v>0</v>
      </c>
      <c r="K759" s="75">
        <v>0</v>
      </c>
      <c r="L759" s="75">
        <v>19433205</v>
      </c>
      <c r="M759" s="75">
        <v>0</v>
      </c>
      <c r="N759" s="75">
        <v>0</v>
      </c>
      <c r="O759" s="75">
        <v>0</v>
      </c>
      <c r="P759" s="87">
        <f>350382+351382+350382</f>
        <v>1052146</v>
      </c>
      <c r="Q759" s="75">
        <v>0</v>
      </c>
      <c r="R759" s="75">
        <f>415870.59</f>
        <v>415870.59</v>
      </c>
      <c r="S759" s="75">
        <v>0</v>
      </c>
      <c r="T759" s="75">
        <v>0</v>
      </c>
      <c r="U759" s="253"/>
      <c r="V759" s="253"/>
    </row>
    <row r="760" spans="1:39" s="40" customFormat="1" ht="22.5" customHeight="1" x14ac:dyDescent="0.25">
      <c r="A760" s="25">
        <v>3</v>
      </c>
      <c r="B760" s="37" t="s">
        <v>1328</v>
      </c>
      <c r="C760" s="75">
        <f t="shared" si="162"/>
        <v>23842773.970000003</v>
      </c>
      <c r="D760" s="75">
        <f t="shared" si="163"/>
        <v>0</v>
      </c>
      <c r="E760" s="75">
        <v>0</v>
      </c>
      <c r="F760" s="75">
        <v>0</v>
      </c>
      <c r="G760" s="75">
        <v>0</v>
      </c>
      <c r="H760" s="75">
        <v>0</v>
      </c>
      <c r="I760" s="75">
        <v>0</v>
      </c>
      <c r="J760" s="152">
        <v>0</v>
      </c>
      <c r="K760" s="75">
        <v>0</v>
      </c>
      <c r="L760" s="75">
        <v>22314106.100000001</v>
      </c>
      <c r="M760" s="75">
        <v>0</v>
      </c>
      <c r="N760" s="75">
        <v>0</v>
      </c>
      <c r="O760" s="75">
        <v>0</v>
      </c>
      <c r="P760" s="87">
        <f>350382+350382+350382</f>
        <v>1051146</v>
      </c>
      <c r="Q760" s="75">
        <v>0</v>
      </c>
      <c r="R760" s="75">
        <f>477521.87</f>
        <v>477521.87</v>
      </c>
      <c r="S760" s="75">
        <v>0</v>
      </c>
      <c r="T760" s="75">
        <v>0</v>
      </c>
      <c r="U760" s="253"/>
      <c r="V760" s="253"/>
    </row>
    <row r="761" spans="1:39" s="186" customFormat="1" ht="22.5" customHeight="1" x14ac:dyDescent="0.25">
      <c r="A761" s="326" t="s">
        <v>498</v>
      </c>
      <c r="B761" s="326"/>
      <c r="C761" s="118">
        <f t="shared" ref="C761:T761" si="164">SUM(C762:C769)</f>
        <v>64213883.300000004</v>
      </c>
      <c r="D761" s="118">
        <f t="shared" si="164"/>
        <v>7942945</v>
      </c>
      <c r="E761" s="118">
        <f t="shared" si="164"/>
        <v>5772419.7999999998</v>
      </c>
      <c r="F761" s="118">
        <f t="shared" si="164"/>
        <v>2170525.2000000002</v>
      </c>
      <c r="G761" s="118">
        <f t="shared" si="164"/>
        <v>0</v>
      </c>
      <c r="H761" s="118">
        <f t="shared" si="164"/>
        <v>0</v>
      </c>
      <c r="I761" s="118">
        <f t="shared" si="164"/>
        <v>0</v>
      </c>
      <c r="J761" s="119">
        <f t="shared" si="164"/>
        <v>0</v>
      </c>
      <c r="K761" s="118">
        <f t="shared" si="164"/>
        <v>0</v>
      </c>
      <c r="L761" s="118">
        <f t="shared" si="164"/>
        <v>51899206.799999997</v>
      </c>
      <c r="M761" s="118">
        <f t="shared" si="164"/>
        <v>0</v>
      </c>
      <c r="N761" s="118">
        <f t="shared" si="164"/>
        <v>0</v>
      </c>
      <c r="O761" s="118">
        <f t="shared" si="164"/>
        <v>0</v>
      </c>
      <c r="P761" s="118">
        <f t="shared" si="164"/>
        <v>3091110</v>
      </c>
      <c r="Q761" s="118">
        <f t="shared" si="164"/>
        <v>0</v>
      </c>
      <c r="R761" s="118">
        <f t="shared" si="164"/>
        <v>1280621.5</v>
      </c>
      <c r="S761" s="118">
        <f t="shared" si="164"/>
        <v>0</v>
      </c>
      <c r="T761" s="118">
        <f t="shared" si="164"/>
        <v>0</v>
      </c>
      <c r="U761" s="239"/>
      <c r="V761" s="239"/>
    </row>
    <row r="762" spans="1:39" s="186" customFormat="1" ht="22.5" customHeight="1" x14ac:dyDescent="0.25">
      <c r="A762" s="25">
        <v>1</v>
      </c>
      <c r="B762" s="37" t="s">
        <v>1329</v>
      </c>
      <c r="C762" s="75">
        <f t="shared" ref="C762:C769" si="165">D762+K762+L762+M762+N762+O762+P762+Q762+R762+S762+T762</f>
        <v>13433141.65</v>
      </c>
      <c r="D762" s="75">
        <f t="shared" ref="D762:D769" si="166">SUM(E762:I762)</f>
        <v>0</v>
      </c>
      <c r="E762" s="75">
        <v>0</v>
      </c>
      <c r="F762" s="75">
        <v>0</v>
      </c>
      <c r="G762" s="75">
        <v>0</v>
      </c>
      <c r="H762" s="75">
        <v>0</v>
      </c>
      <c r="I762" s="75">
        <v>0</v>
      </c>
      <c r="J762" s="152">
        <v>0</v>
      </c>
      <c r="K762" s="75">
        <v>0</v>
      </c>
      <c r="L762" s="75">
        <v>12891666</v>
      </c>
      <c r="M762" s="75">
        <v>0</v>
      </c>
      <c r="N762" s="75">
        <v>0</v>
      </c>
      <c r="O762" s="75">
        <v>0</v>
      </c>
      <c r="P762" s="75">
        <v>265594</v>
      </c>
      <c r="Q762" s="75">
        <v>0</v>
      </c>
      <c r="R762" s="75">
        <v>275881.65000000002</v>
      </c>
      <c r="S762" s="75">
        <v>0</v>
      </c>
      <c r="T762" s="75">
        <v>0</v>
      </c>
      <c r="U762" s="264"/>
      <c r="V762" s="264"/>
      <c r="W762" s="40"/>
      <c r="X762" s="40"/>
      <c r="Y762" s="40"/>
      <c r="Z762" s="40"/>
      <c r="AA762" s="40"/>
      <c r="AB762" s="40"/>
      <c r="AC762" s="40"/>
      <c r="AD762" s="40"/>
      <c r="AE762" s="40"/>
      <c r="AF762" s="40"/>
      <c r="AG762" s="40"/>
      <c r="AH762" s="40"/>
      <c r="AI762" s="40"/>
      <c r="AJ762" s="40"/>
      <c r="AK762" s="40"/>
      <c r="AL762" s="40"/>
      <c r="AM762" s="40"/>
    </row>
    <row r="763" spans="1:39" s="186" customFormat="1" ht="22.5" customHeight="1" x14ac:dyDescent="0.25">
      <c r="A763" s="25">
        <v>2</v>
      </c>
      <c r="B763" s="37" t="s">
        <v>1330</v>
      </c>
      <c r="C763" s="75">
        <f t="shared" si="165"/>
        <v>3128798.59</v>
      </c>
      <c r="D763" s="75">
        <f t="shared" si="166"/>
        <v>0</v>
      </c>
      <c r="E763" s="75">
        <v>0</v>
      </c>
      <c r="F763" s="75">
        <v>0</v>
      </c>
      <c r="G763" s="75">
        <v>0</v>
      </c>
      <c r="H763" s="75">
        <v>0</v>
      </c>
      <c r="I763" s="75">
        <v>0</v>
      </c>
      <c r="J763" s="152">
        <v>0</v>
      </c>
      <c r="K763" s="75">
        <v>0</v>
      </c>
      <c r="L763" s="75">
        <v>2543186.4</v>
      </c>
      <c r="M763" s="75">
        <v>0</v>
      </c>
      <c r="N763" s="75">
        <v>0</v>
      </c>
      <c r="O763" s="75">
        <v>0</v>
      </c>
      <c r="P763" s="75">
        <f>265594+265594</f>
        <v>531188</v>
      </c>
      <c r="Q763" s="75">
        <v>0</v>
      </c>
      <c r="R763" s="75">
        <v>54424.19</v>
      </c>
      <c r="S763" s="75">
        <v>0</v>
      </c>
      <c r="T763" s="75">
        <v>0</v>
      </c>
      <c r="U763" s="264"/>
      <c r="V763" s="264"/>
      <c r="W763" s="40"/>
      <c r="X763" s="40"/>
      <c r="Y763" s="40"/>
      <c r="Z763" s="40"/>
      <c r="AA763" s="40"/>
      <c r="AB763" s="40"/>
      <c r="AC763" s="40"/>
      <c r="AD763" s="40"/>
      <c r="AE763" s="40"/>
      <c r="AF763" s="40"/>
      <c r="AG763" s="40"/>
      <c r="AH763" s="40"/>
      <c r="AI763" s="40"/>
      <c r="AJ763" s="40"/>
      <c r="AK763" s="40"/>
      <c r="AL763" s="40"/>
      <c r="AM763" s="40"/>
    </row>
    <row r="764" spans="1:39" s="186" customFormat="1" ht="22.5" customHeight="1" x14ac:dyDescent="0.25">
      <c r="A764" s="25">
        <v>3</v>
      </c>
      <c r="B764" s="37" t="s">
        <v>1331</v>
      </c>
      <c r="C764" s="75">
        <f t="shared" si="165"/>
        <v>8287151.1400000006</v>
      </c>
      <c r="D764" s="75">
        <f t="shared" si="166"/>
        <v>2170525.2000000002</v>
      </c>
      <c r="E764" s="75">
        <v>0</v>
      </c>
      <c r="F764" s="75">
        <v>2170525.2000000002</v>
      </c>
      <c r="G764" s="75">
        <v>0</v>
      </c>
      <c r="H764" s="75">
        <v>0</v>
      </c>
      <c r="I764" s="75">
        <v>0</v>
      </c>
      <c r="J764" s="152">
        <v>0</v>
      </c>
      <c r="K764" s="75">
        <v>0</v>
      </c>
      <c r="L764" s="75">
        <v>5682967.2000000002</v>
      </c>
      <c r="M764" s="75">
        <v>0</v>
      </c>
      <c r="N764" s="75">
        <v>0</v>
      </c>
      <c r="O764" s="75">
        <v>0</v>
      </c>
      <c r="P764" s="75">
        <v>265594</v>
      </c>
      <c r="Q764" s="75">
        <v>0</v>
      </c>
      <c r="R764" s="75">
        <f>121615.5+46449.24</f>
        <v>168064.74</v>
      </c>
      <c r="S764" s="75">
        <v>0</v>
      </c>
      <c r="T764" s="75">
        <v>0</v>
      </c>
      <c r="U764" s="264"/>
      <c r="V764" s="264"/>
      <c r="W764" s="40"/>
      <c r="X764" s="40"/>
      <c r="Y764" s="40"/>
      <c r="Z764" s="40"/>
      <c r="AA764" s="40"/>
      <c r="AB764" s="40"/>
      <c r="AC764" s="40"/>
      <c r="AD764" s="40"/>
      <c r="AE764" s="40"/>
      <c r="AF764" s="40"/>
      <c r="AG764" s="40"/>
      <c r="AH764" s="40"/>
      <c r="AI764" s="40"/>
      <c r="AJ764" s="40"/>
      <c r="AK764" s="40"/>
      <c r="AL764" s="40"/>
      <c r="AM764" s="40"/>
    </row>
    <row r="765" spans="1:39" s="186" customFormat="1" ht="22.5" customHeight="1" x14ac:dyDescent="0.25">
      <c r="A765" s="25">
        <v>4</v>
      </c>
      <c r="B765" s="37" t="s">
        <v>1332</v>
      </c>
      <c r="C765" s="75">
        <f t="shared" si="165"/>
        <v>5711500.4199999999</v>
      </c>
      <c r="D765" s="75">
        <f t="shared" si="166"/>
        <v>4905753.3</v>
      </c>
      <c r="E765" s="75">
        <v>4905753.3</v>
      </c>
      <c r="F765" s="75">
        <v>0</v>
      </c>
      <c r="G765" s="75">
        <v>0</v>
      </c>
      <c r="H765" s="75">
        <v>0</v>
      </c>
      <c r="I765" s="75">
        <v>0</v>
      </c>
      <c r="J765" s="152">
        <v>0</v>
      </c>
      <c r="K765" s="75">
        <v>0</v>
      </c>
      <c r="L765" s="75">
        <v>0</v>
      </c>
      <c r="M765" s="75">
        <v>0</v>
      </c>
      <c r="N765" s="75">
        <v>0</v>
      </c>
      <c r="O765" s="75">
        <v>0</v>
      </c>
      <c r="P765" s="75">
        <f>350382+350382</f>
        <v>700764</v>
      </c>
      <c r="Q765" s="75">
        <v>0</v>
      </c>
      <c r="R765" s="75">
        <v>104983.12</v>
      </c>
      <c r="S765" s="75">
        <v>0</v>
      </c>
      <c r="T765" s="75">
        <v>0</v>
      </c>
      <c r="U765" s="264"/>
      <c r="V765" s="264"/>
      <c r="W765" s="40"/>
      <c r="X765" s="40"/>
      <c r="Y765" s="40"/>
      <c r="Z765" s="40"/>
      <c r="AA765" s="40"/>
      <c r="AB765" s="40"/>
      <c r="AC765" s="40"/>
      <c r="AD765" s="40"/>
      <c r="AE765" s="40"/>
      <c r="AF765" s="40"/>
      <c r="AG765" s="40"/>
      <c r="AH765" s="40"/>
      <c r="AI765" s="40"/>
      <c r="AJ765" s="40"/>
      <c r="AK765" s="40"/>
      <c r="AL765" s="40"/>
      <c r="AM765" s="40"/>
    </row>
    <row r="766" spans="1:39" s="186" customFormat="1" ht="22.5" customHeight="1" x14ac:dyDescent="0.25">
      <c r="A766" s="25">
        <v>5</v>
      </c>
      <c r="B766" s="37" t="s">
        <v>1333</v>
      </c>
      <c r="C766" s="75">
        <f t="shared" si="165"/>
        <v>5385335.3500000006</v>
      </c>
      <c r="D766" s="75">
        <f t="shared" si="166"/>
        <v>0</v>
      </c>
      <c r="E766" s="75">
        <v>0</v>
      </c>
      <c r="F766" s="75">
        <v>0</v>
      </c>
      <c r="G766" s="75">
        <v>0</v>
      </c>
      <c r="H766" s="75">
        <v>0</v>
      </c>
      <c r="I766" s="75">
        <v>0</v>
      </c>
      <c r="J766" s="152">
        <v>0</v>
      </c>
      <c r="K766" s="75">
        <v>0</v>
      </c>
      <c r="L766" s="75">
        <v>5012474.4000000004</v>
      </c>
      <c r="M766" s="75">
        <v>0</v>
      </c>
      <c r="N766" s="75">
        <v>0</v>
      </c>
      <c r="O766" s="75">
        <v>0</v>
      </c>
      <c r="P766" s="75">
        <v>265594</v>
      </c>
      <c r="Q766" s="75">
        <v>0</v>
      </c>
      <c r="R766" s="75">
        <v>107266.95</v>
      </c>
      <c r="S766" s="75">
        <v>0</v>
      </c>
      <c r="T766" s="75">
        <v>0</v>
      </c>
      <c r="U766" s="264"/>
      <c r="V766" s="264"/>
      <c r="W766" s="40"/>
      <c r="X766" s="40"/>
      <c r="Y766" s="40"/>
      <c r="Z766" s="40"/>
      <c r="AA766" s="40"/>
      <c r="AB766" s="40"/>
      <c r="AC766" s="40"/>
      <c r="AD766" s="40"/>
      <c r="AE766" s="40"/>
      <c r="AF766" s="40"/>
      <c r="AG766" s="40"/>
      <c r="AH766" s="40"/>
      <c r="AI766" s="40"/>
      <c r="AJ766" s="40"/>
      <c r="AK766" s="40"/>
      <c r="AL766" s="40"/>
      <c r="AM766" s="40"/>
    </row>
    <row r="767" spans="1:39" s="186" customFormat="1" ht="22.5" customHeight="1" x14ac:dyDescent="0.25">
      <c r="A767" s="25">
        <v>6</v>
      </c>
      <c r="B767" s="37" t="s">
        <v>1334</v>
      </c>
      <c r="C767" s="75">
        <f t="shared" si="165"/>
        <v>1416401.16</v>
      </c>
      <c r="D767" s="75">
        <f t="shared" si="166"/>
        <v>866666.5</v>
      </c>
      <c r="E767" s="75">
        <v>866666.5</v>
      </c>
      <c r="F767" s="75">
        <v>0</v>
      </c>
      <c r="G767" s="75">
        <v>0</v>
      </c>
      <c r="H767" s="75">
        <v>0</v>
      </c>
      <c r="I767" s="75">
        <v>0</v>
      </c>
      <c r="J767" s="152">
        <v>0</v>
      </c>
      <c r="K767" s="75">
        <v>0</v>
      </c>
      <c r="L767" s="75">
        <v>0</v>
      </c>
      <c r="M767" s="75">
        <v>0</v>
      </c>
      <c r="N767" s="75">
        <v>0</v>
      </c>
      <c r="O767" s="75">
        <v>0</v>
      </c>
      <c r="P767" s="75">
        <f>265594+265594</f>
        <v>531188</v>
      </c>
      <c r="Q767" s="75">
        <v>0</v>
      </c>
      <c r="R767" s="75">
        <v>18546.66</v>
      </c>
      <c r="S767" s="75">
        <v>0</v>
      </c>
      <c r="T767" s="75">
        <v>0</v>
      </c>
      <c r="U767" s="264"/>
      <c r="V767" s="264"/>
      <c r="W767" s="40"/>
      <c r="X767" s="40"/>
      <c r="Y767" s="40"/>
      <c r="Z767" s="40"/>
      <c r="AA767" s="40"/>
      <c r="AB767" s="40"/>
      <c r="AC767" s="40"/>
      <c r="AD767" s="40"/>
      <c r="AE767" s="40"/>
      <c r="AF767" s="40"/>
      <c r="AG767" s="40"/>
      <c r="AH767" s="40"/>
      <c r="AI767" s="40"/>
      <c r="AJ767" s="40"/>
      <c r="AK767" s="40"/>
      <c r="AL767" s="40"/>
      <c r="AM767" s="40"/>
    </row>
    <row r="768" spans="1:39" s="186" customFormat="1" ht="22.5" customHeight="1" x14ac:dyDescent="0.25">
      <c r="A768" s="25">
        <v>7</v>
      </c>
      <c r="B768" s="37" t="s">
        <v>1335</v>
      </c>
      <c r="C768" s="75">
        <f t="shared" si="165"/>
        <v>13266533.200000001</v>
      </c>
      <c r="D768" s="75">
        <f t="shared" si="166"/>
        <v>0</v>
      </c>
      <c r="E768" s="75">
        <v>0</v>
      </c>
      <c r="F768" s="75">
        <v>0</v>
      </c>
      <c r="G768" s="75">
        <v>0</v>
      </c>
      <c r="H768" s="75">
        <v>0</v>
      </c>
      <c r="I768" s="75">
        <v>0</v>
      </c>
      <c r="J768" s="152">
        <v>0</v>
      </c>
      <c r="K768" s="75">
        <v>0</v>
      </c>
      <c r="L768" s="75">
        <v>12728548.800000001</v>
      </c>
      <c r="M768" s="75">
        <v>0</v>
      </c>
      <c r="N768" s="75">
        <v>0</v>
      </c>
      <c r="O768" s="75">
        <v>0</v>
      </c>
      <c r="P768" s="75">
        <v>265594</v>
      </c>
      <c r="Q768" s="75">
        <v>0</v>
      </c>
      <c r="R768" s="75">
        <v>272390.40000000002</v>
      </c>
      <c r="S768" s="75">
        <v>0</v>
      </c>
      <c r="T768" s="75">
        <v>0</v>
      </c>
      <c r="U768" s="264"/>
      <c r="V768" s="264"/>
      <c r="W768" s="40"/>
      <c r="X768" s="40"/>
      <c r="Y768" s="40"/>
      <c r="Z768" s="40"/>
      <c r="AA768" s="40"/>
      <c r="AB768" s="40"/>
      <c r="AC768" s="40"/>
      <c r="AD768" s="40"/>
      <c r="AE768" s="40"/>
      <c r="AF768" s="40"/>
      <c r="AG768" s="40"/>
      <c r="AH768" s="40"/>
      <c r="AI768" s="40"/>
      <c r="AJ768" s="40"/>
      <c r="AK768" s="40"/>
      <c r="AL768" s="40"/>
      <c r="AM768" s="40"/>
    </row>
    <row r="769" spans="1:39" s="40" customFormat="1" ht="22.5" customHeight="1" x14ac:dyDescent="0.25">
      <c r="A769" s="25">
        <v>8</v>
      </c>
      <c r="B769" s="37" t="s">
        <v>1336</v>
      </c>
      <c r="C769" s="75">
        <f t="shared" si="165"/>
        <v>13585021.789999999</v>
      </c>
      <c r="D769" s="75">
        <f t="shared" si="166"/>
        <v>0</v>
      </c>
      <c r="E769" s="75">
        <v>0</v>
      </c>
      <c r="F769" s="75">
        <v>0</v>
      </c>
      <c r="G769" s="75">
        <v>0</v>
      </c>
      <c r="H769" s="75">
        <v>0</v>
      </c>
      <c r="I769" s="75">
        <v>0</v>
      </c>
      <c r="J769" s="152">
        <v>0</v>
      </c>
      <c r="K769" s="75">
        <v>0</v>
      </c>
      <c r="L769" s="75">
        <v>13040364</v>
      </c>
      <c r="M769" s="75">
        <v>0</v>
      </c>
      <c r="N769" s="75">
        <v>0</v>
      </c>
      <c r="O769" s="75">
        <v>0</v>
      </c>
      <c r="P769" s="75">
        <v>265594</v>
      </c>
      <c r="Q769" s="75">
        <v>0</v>
      </c>
      <c r="R769" s="75">
        <v>279063.78999999998</v>
      </c>
      <c r="S769" s="75">
        <v>0</v>
      </c>
      <c r="T769" s="75">
        <v>0</v>
      </c>
      <c r="U769" s="264"/>
      <c r="V769" s="264"/>
    </row>
    <row r="770" spans="1:39" s="186" customFormat="1" ht="22.5" customHeight="1" x14ac:dyDescent="0.25">
      <c r="A770" s="322" t="s">
        <v>503</v>
      </c>
      <c r="B770" s="322"/>
      <c r="C770" s="118">
        <f t="shared" ref="C770:T770" si="167">SUM(C771:C788)</f>
        <v>153489370.90000001</v>
      </c>
      <c r="D770" s="118">
        <f t="shared" si="167"/>
        <v>31947863.699999999</v>
      </c>
      <c r="E770" s="118">
        <f t="shared" si="167"/>
        <v>13506649.800000001</v>
      </c>
      <c r="F770" s="118">
        <f t="shared" si="167"/>
        <v>10244293.199999999</v>
      </c>
      <c r="G770" s="118">
        <f t="shared" si="167"/>
        <v>2799090.3000000003</v>
      </c>
      <c r="H770" s="118">
        <f t="shared" si="167"/>
        <v>1716954.8</v>
      </c>
      <c r="I770" s="118">
        <f t="shared" si="167"/>
        <v>3680875.6</v>
      </c>
      <c r="J770" s="119">
        <f t="shared" si="167"/>
        <v>0</v>
      </c>
      <c r="K770" s="118">
        <f t="shared" si="167"/>
        <v>0</v>
      </c>
      <c r="L770" s="118">
        <f t="shared" si="167"/>
        <v>98031631.600000009</v>
      </c>
      <c r="M770" s="118">
        <f t="shared" si="167"/>
        <v>0</v>
      </c>
      <c r="N770" s="118">
        <f t="shared" si="167"/>
        <v>7801145.5</v>
      </c>
      <c r="O770" s="118">
        <f t="shared" si="167"/>
        <v>0</v>
      </c>
      <c r="P770" s="118">
        <f t="shared" si="167"/>
        <v>12707258.199999999</v>
      </c>
      <c r="Q770" s="118">
        <f t="shared" si="167"/>
        <v>0</v>
      </c>
      <c r="R770" s="118">
        <f t="shared" si="167"/>
        <v>3001471.9</v>
      </c>
      <c r="S770" s="118">
        <f t="shared" si="167"/>
        <v>0</v>
      </c>
      <c r="T770" s="118">
        <f t="shared" si="167"/>
        <v>0</v>
      </c>
      <c r="U770" s="238"/>
      <c r="V770" s="238"/>
    </row>
    <row r="771" spans="1:39" s="40" customFormat="1" ht="22.5" customHeight="1" x14ac:dyDescent="0.25">
      <c r="A771" s="266">
        <v>1</v>
      </c>
      <c r="B771" s="93" t="s">
        <v>1337</v>
      </c>
      <c r="C771" s="75">
        <f t="shared" ref="C771:C788" si="168">D771+K771+L771+M771+N771+O771+P771+Q771+R771+S771+T771</f>
        <v>2808837.08</v>
      </c>
      <c r="D771" s="75">
        <f t="shared" ref="D771:D788" si="169">SUM(E771:I771)</f>
        <v>2072599.2000000002</v>
      </c>
      <c r="E771" s="87">
        <v>0</v>
      </c>
      <c r="F771" s="87">
        <v>0</v>
      </c>
      <c r="G771" s="75">
        <v>1657658.1</v>
      </c>
      <c r="H771" s="75">
        <v>414941.1</v>
      </c>
      <c r="I771" s="75">
        <v>0</v>
      </c>
      <c r="J771" s="152">
        <v>0</v>
      </c>
      <c r="K771" s="75">
        <v>0</v>
      </c>
      <c r="L771" s="75">
        <v>0</v>
      </c>
      <c r="M771" s="75">
        <v>0</v>
      </c>
      <c r="N771" s="75">
        <v>0</v>
      </c>
      <c r="O771" s="87">
        <v>0</v>
      </c>
      <c r="P771" s="87">
        <f>350382+350382</f>
        <v>700764</v>
      </c>
      <c r="Q771" s="75">
        <v>0</v>
      </c>
      <c r="R771" s="75">
        <f>8879.74+26594.14</f>
        <v>35473.879999999997</v>
      </c>
      <c r="S771" s="75">
        <v>0</v>
      </c>
      <c r="T771" s="75">
        <v>0</v>
      </c>
      <c r="U771" s="243"/>
      <c r="V771" s="243"/>
    </row>
    <row r="772" spans="1:39" s="40" customFormat="1" ht="22.5" customHeight="1" x14ac:dyDescent="0.25">
      <c r="A772" s="266">
        <v>2</v>
      </c>
      <c r="B772" s="93" t="s">
        <v>1338</v>
      </c>
      <c r="C772" s="75">
        <f t="shared" si="168"/>
        <v>2292808.84</v>
      </c>
      <c r="D772" s="75">
        <f t="shared" si="169"/>
        <v>1724712</v>
      </c>
      <c r="E772" s="87">
        <v>0</v>
      </c>
      <c r="F772" s="87">
        <v>0</v>
      </c>
      <c r="G772" s="75">
        <v>771777.6</v>
      </c>
      <c r="H772" s="75"/>
      <c r="I772" s="75">
        <v>952934.40000000002</v>
      </c>
      <c r="J772" s="152">
        <v>0</v>
      </c>
      <c r="K772" s="75">
        <v>0</v>
      </c>
      <c r="L772" s="75">
        <v>0</v>
      </c>
      <c r="M772" s="75">
        <v>0</v>
      </c>
      <c r="N772" s="75">
        <v>0</v>
      </c>
      <c r="O772" s="87">
        <v>0</v>
      </c>
      <c r="P772" s="87">
        <f>265594+265594</f>
        <v>531188</v>
      </c>
      <c r="Q772" s="75">
        <v>0</v>
      </c>
      <c r="R772" s="75">
        <f>16516.04+20392.8</f>
        <v>36908.839999999997</v>
      </c>
      <c r="S772" s="75">
        <v>0</v>
      </c>
      <c r="T772" s="75">
        <v>0</v>
      </c>
      <c r="U772" s="243"/>
      <c r="V772" s="243"/>
    </row>
    <row r="773" spans="1:39" s="40" customFormat="1" ht="22.5" customHeight="1" x14ac:dyDescent="0.25">
      <c r="A773" s="266">
        <v>3</v>
      </c>
      <c r="B773" s="37" t="s">
        <v>508</v>
      </c>
      <c r="C773" s="75">
        <f t="shared" si="168"/>
        <v>19157147.969999999</v>
      </c>
      <c r="D773" s="75">
        <f t="shared" si="169"/>
        <v>0</v>
      </c>
      <c r="E773" s="75">
        <v>0</v>
      </c>
      <c r="F773" s="75">
        <v>0</v>
      </c>
      <c r="G773" s="75">
        <v>0</v>
      </c>
      <c r="H773" s="75">
        <v>0</v>
      </c>
      <c r="I773" s="75">
        <v>0</v>
      </c>
      <c r="J773" s="152">
        <v>0</v>
      </c>
      <c r="K773" s="75">
        <v>0</v>
      </c>
      <c r="L773" s="87">
        <v>18755774.399999999</v>
      </c>
      <c r="M773" s="75">
        <v>0</v>
      </c>
      <c r="N773" s="75">
        <v>0</v>
      </c>
      <c r="O773" s="75">
        <v>0</v>
      </c>
      <c r="P773" s="75">
        <v>0</v>
      </c>
      <c r="Q773" s="75">
        <v>0</v>
      </c>
      <c r="R773" s="75">
        <v>401373.57</v>
      </c>
      <c r="S773" s="75">
        <v>0</v>
      </c>
      <c r="T773" s="75">
        <v>0</v>
      </c>
      <c r="U773" s="238"/>
      <c r="V773" s="238"/>
    </row>
    <row r="774" spans="1:39" s="40" customFormat="1" ht="24.75" customHeight="1" x14ac:dyDescent="0.25">
      <c r="A774" s="266">
        <v>4</v>
      </c>
      <c r="B774" s="267" t="s">
        <v>1339</v>
      </c>
      <c r="C774" s="75">
        <f t="shared" si="168"/>
        <v>1119373.2700000003</v>
      </c>
      <c r="D774" s="75">
        <f t="shared" si="169"/>
        <v>835891.20000000007</v>
      </c>
      <c r="E774" s="75">
        <v>0</v>
      </c>
      <c r="F774" s="87">
        <v>0</v>
      </c>
      <c r="G774" s="75">
        <v>0</v>
      </c>
      <c r="H774" s="87">
        <v>0</v>
      </c>
      <c r="I774" s="75">
        <v>835891.20000000007</v>
      </c>
      <c r="J774" s="152">
        <v>0</v>
      </c>
      <c r="K774" s="75">
        <v>0</v>
      </c>
      <c r="L774" s="87">
        <v>0</v>
      </c>
      <c r="M774" s="75">
        <v>0</v>
      </c>
      <c r="N774" s="75">
        <v>0</v>
      </c>
      <c r="O774" s="75">
        <v>0</v>
      </c>
      <c r="P774" s="87">
        <v>265594</v>
      </c>
      <c r="Q774" s="75">
        <v>0</v>
      </c>
      <c r="R774" s="75">
        <v>17888.07</v>
      </c>
      <c r="S774" s="75">
        <v>0</v>
      </c>
      <c r="T774" s="75">
        <v>0</v>
      </c>
      <c r="U774" s="238"/>
      <c r="V774" s="238"/>
    </row>
    <row r="775" spans="1:39" s="40" customFormat="1" ht="24.75" customHeight="1" x14ac:dyDescent="0.25">
      <c r="A775" s="266">
        <v>5</v>
      </c>
      <c r="B775" s="38" t="s">
        <v>1340</v>
      </c>
      <c r="C775" s="75">
        <f t="shared" si="168"/>
        <v>2058927.34</v>
      </c>
      <c r="D775" s="75">
        <f t="shared" si="169"/>
        <v>1495730.7000000002</v>
      </c>
      <c r="E775" s="75">
        <v>0</v>
      </c>
      <c r="F775" s="75">
        <v>0</v>
      </c>
      <c r="G775" s="75">
        <v>0</v>
      </c>
      <c r="H775" s="75">
        <v>503743.5</v>
      </c>
      <c r="I775" s="75">
        <v>991987.20000000007</v>
      </c>
      <c r="J775" s="152">
        <v>0</v>
      </c>
      <c r="K775" s="75">
        <v>0</v>
      </c>
      <c r="L775" s="75">
        <v>0</v>
      </c>
      <c r="M775" s="75">
        <v>0</v>
      </c>
      <c r="N775" s="75">
        <v>0</v>
      </c>
      <c r="O775" s="75">
        <v>0</v>
      </c>
      <c r="P775" s="75">
        <f>265594+265594</f>
        <v>531188</v>
      </c>
      <c r="Q775" s="75">
        <v>0</v>
      </c>
      <c r="R775" s="75">
        <f>21228.53+10780.11</f>
        <v>32008.639999999999</v>
      </c>
      <c r="S775" s="75">
        <v>0</v>
      </c>
      <c r="T775" s="75">
        <v>0</v>
      </c>
      <c r="U775" s="253"/>
      <c r="V775" s="253"/>
    </row>
    <row r="776" spans="1:39" s="40" customFormat="1" ht="24.75" customHeight="1" x14ac:dyDescent="0.25">
      <c r="A776" s="266">
        <v>6</v>
      </c>
      <c r="B776" s="38" t="s">
        <v>1341</v>
      </c>
      <c r="C776" s="75">
        <f t="shared" si="168"/>
        <v>229392.2</v>
      </c>
      <c r="D776" s="75">
        <f t="shared" si="169"/>
        <v>0</v>
      </c>
      <c r="E776" s="75">
        <v>0</v>
      </c>
      <c r="F776" s="75">
        <v>0</v>
      </c>
      <c r="G776" s="75">
        <v>0</v>
      </c>
      <c r="H776" s="75">
        <v>0</v>
      </c>
      <c r="I776" s="75">
        <v>0</v>
      </c>
      <c r="J776" s="152">
        <v>0</v>
      </c>
      <c r="K776" s="75">
        <v>0</v>
      </c>
      <c r="L776" s="75">
        <v>0</v>
      </c>
      <c r="M776" s="75">
        <v>0</v>
      </c>
      <c r="N776" s="75">
        <v>0</v>
      </c>
      <c r="O776" s="75">
        <v>0</v>
      </c>
      <c r="P776" s="75">
        <v>229392.2</v>
      </c>
      <c r="Q776" s="75">
        <v>0</v>
      </c>
      <c r="R776" s="75">
        <v>0</v>
      </c>
      <c r="S776" s="75">
        <v>0</v>
      </c>
      <c r="T776" s="75">
        <v>0</v>
      </c>
      <c r="U776" s="253"/>
      <c r="V776" s="253"/>
    </row>
    <row r="777" spans="1:39" s="23" customFormat="1" ht="22.9" customHeight="1" x14ac:dyDescent="0.25">
      <c r="A777" s="266">
        <v>7</v>
      </c>
      <c r="B777" s="38" t="s">
        <v>1342</v>
      </c>
      <c r="C777" s="75">
        <f t="shared" si="168"/>
        <v>1145490.24</v>
      </c>
      <c r="D777" s="75">
        <f t="shared" si="169"/>
        <v>601431.6</v>
      </c>
      <c r="E777" s="75">
        <v>0</v>
      </c>
      <c r="F777" s="75">
        <v>0</v>
      </c>
      <c r="G777" s="75">
        <v>369654.6</v>
      </c>
      <c r="H777" s="75">
        <v>231777</v>
      </c>
      <c r="I777" s="75">
        <v>0</v>
      </c>
      <c r="J777" s="152">
        <v>0</v>
      </c>
      <c r="K777" s="75">
        <v>0</v>
      </c>
      <c r="L777" s="75">
        <v>0</v>
      </c>
      <c r="M777" s="75">
        <v>0</v>
      </c>
      <c r="N777" s="75">
        <v>0</v>
      </c>
      <c r="O777" s="75">
        <v>0</v>
      </c>
      <c r="P777" s="75">
        <f>265594+265594</f>
        <v>531188</v>
      </c>
      <c r="Q777" s="75">
        <v>0</v>
      </c>
      <c r="R777" s="75">
        <f>4960.03+7910.61</f>
        <v>12870.64</v>
      </c>
      <c r="S777" s="75">
        <v>0</v>
      </c>
      <c r="T777" s="75">
        <v>0</v>
      </c>
      <c r="U777" s="44"/>
      <c r="V777" s="44"/>
    </row>
    <row r="778" spans="1:39" s="44" customFormat="1" ht="22.9" customHeight="1" x14ac:dyDescent="0.25">
      <c r="A778" s="266">
        <v>8</v>
      </c>
      <c r="B778" s="71" t="s">
        <v>1343</v>
      </c>
      <c r="C778" s="75">
        <f t="shared" si="168"/>
        <v>8053282.5999999996</v>
      </c>
      <c r="D778" s="75">
        <f t="shared" si="169"/>
        <v>6855430.3999999994</v>
      </c>
      <c r="E778" s="75">
        <v>0</v>
      </c>
      <c r="F778" s="75">
        <v>5388874.3999999994</v>
      </c>
      <c r="G778" s="75">
        <v>0</v>
      </c>
      <c r="H778" s="75">
        <v>566493.19999999995</v>
      </c>
      <c r="I778" s="75">
        <v>900062.79999999993</v>
      </c>
      <c r="J778" s="152">
        <v>0</v>
      </c>
      <c r="K778" s="75">
        <v>0</v>
      </c>
      <c r="L778" s="75">
        <v>0</v>
      </c>
      <c r="M778" s="75">
        <v>0</v>
      </c>
      <c r="N778" s="75">
        <v>0</v>
      </c>
      <c r="O778" s="75">
        <v>0</v>
      </c>
      <c r="P778" s="75">
        <f>350382+350382+350382</f>
        <v>1051146</v>
      </c>
      <c r="Q778" s="75">
        <v>0</v>
      </c>
      <c r="R778" s="75">
        <f>19261.34+12122.95+115321.91</f>
        <v>146706.20000000001</v>
      </c>
      <c r="S778" s="75">
        <v>0</v>
      </c>
      <c r="T778" s="75">
        <v>0</v>
      </c>
    </row>
    <row r="779" spans="1:39" s="44" customFormat="1" ht="22.9" customHeight="1" x14ac:dyDescent="0.25">
      <c r="A779" s="266">
        <v>9</v>
      </c>
      <c r="B779" s="37" t="s">
        <v>511</v>
      </c>
      <c r="C779" s="75">
        <f t="shared" si="168"/>
        <v>11871825.610000001</v>
      </c>
      <c r="D779" s="75">
        <f t="shared" si="169"/>
        <v>3761395.8</v>
      </c>
      <c r="E779" s="75">
        <v>0</v>
      </c>
      <c r="F779" s="75">
        <v>3761395.8</v>
      </c>
      <c r="G779" s="75">
        <v>0</v>
      </c>
      <c r="H779" s="75">
        <v>0</v>
      </c>
      <c r="I779" s="75">
        <v>0</v>
      </c>
      <c r="J779" s="152">
        <v>0</v>
      </c>
      <c r="K779" s="75">
        <v>0</v>
      </c>
      <c r="L779" s="75">
        <v>0</v>
      </c>
      <c r="M779" s="75">
        <v>0</v>
      </c>
      <c r="N779" s="75">
        <v>7801145.5</v>
      </c>
      <c r="O779" s="75">
        <v>0</v>
      </c>
      <c r="P779" s="75">
        <v>0</v>
      </c>
      <c r="Q779" s="75">
        <v>0</v>
      </c>
      <c r="R779" s="75">
        <f>171251.73+138032.58</f>
        <v>309284.31</v>
      </c>
      <c r="S779" s="75">
        <v>0</v>
      </c>
      <c r="T779" s="75">
        <v>0</v>
      </c>
      <c r="W779" s="40"/>
      <c r="X779" s="40"/>
      <c r="Y779" s="40"/>
      <c r="Z779" s="40"/>
      <c r="AA779" s="40"/>
      <c r="AB779" s="40"/>
      <c r="AC779" s="40"/>
      <c r="AD779" s="40"/>
      <c r="AE779" s="40"/>
      <c r="AF779" s="40"/>
      <c r="AG779" s="40"/>
      <c r="AH779" s="40"/>
      <c r="AI779" s="40"/>
    </row>
    <row r="780" spans="1:39" s="44" customFormat="1" ht="22.9" customHeight="1" x14ac:dyDescent="0.25">
      <c r="A780" s="266">
        <v>10</v>
      </c>
      <c r="B780" s="38" t="s">
        <v>733</v>
      </c>
      <c r="C780" s="75">
        <f t="shared" si="168"/>
        <v>21484181.350000001</v>
      </c>
      <c r="D780" s="75">
        <f t="shared" si="169"/>
        <v>4396644</v>
      </c>
      <c r="E780" s="75">
        <v>4396644</v>
      </c>
      <c r="F780" s="75">
        <v>0</v>
      </c>
      <c r="G780" s="75">
        <v>0</v>
      </c>
      <c r="H780" s="75">
        <v>0</v>
      </c>
      <c r="I780" s="75">
        <v>0</v>
      </c>
      <c r="J780" s="152">
        <v>0</v>
      </c>
      <c r="K780" s="75">
        <v>0</v>
      </c>
      <c r="L780" s="75">
        <v>14922204</v>
      </c>
      <c r="M780" s="75">
        <v>0</v>
      </c>
      <c r="N780" s="75">
        <v>0</v>
      </c>
      <c r="O780" s="75">
        <v>0</v>
      </c>
      <c r="P780" s="75">
        <f>350382+350382+350382+350382+350382</f>
        <v>1751910</v>
      </c>
      <c r="Q780" s="75">
        <v>0</v>
      </c>
      <c r="R780" s="75">
        <f>319335.17+94088.18</f>
        <v>413423.35</v>
      </c>
      <c r="S780" s="75">
        <v>0</v>
      </c>
      <c r="T780" s="75">
        <v>0</v>
      </c>
      <c r="W780" s="23"/>
      <c r="X780" s="23"/>
      <c r="Y780" s="23"/>
      <c r="Z780" s="23"/>
      <c r="AA780" s="23"/>
      <c r="AB780" s="23"/>
      <c r="AC780" s="23"/>
      <c r="AD780" s="23"/>
      <c r="AE780" s="23"/>
      <c r="AF780" s="23"/>
      <c r="AG780" s="23"/>
      <c r="AH780" s="23"/>
      <c r="AI780" s="23"/>
      <c r="AJ780" s="23"/>
      <c r="AK780" s="23"/>
      <c r="AL780" s="23"/>
      <c r="AM780" s="23"/>
    </row>
    <row r="781" spans="1:39" s="44" customFormat="1" ht="22.9" customHeight="1" x14ac:dyDescent="0.25">
      <c r="A781" s="266">
        <v>11</v>
      </c>
      <c r="B781" s="38" t="s">
        <v>515</v>
      </c>
      <c r="C781" s="75">
        <f t="shared" si="168"/>
        <v>4583984.16</v>
      </c>
      <c r="D781" s="75">
        <f t="shared" si="169"/>
        <v>1094023</v>
      </c>
      <c r="E781" s="75">
        <v>0</v>
      </c>
      <c r="F781" s="87">
        <v>1094023</v>
      </c>
      <c r="G781" s="75">
        <v>0</v>
      </c>
      <c r="H781" s="75">
        <v>0</v>
      </c>
      <c r="I781" s="75">
        <v>0</v>
      </c>
      <c r="J781" s="152">
        <v>0</v>
      </c>
      <c r="K781" s="75">
        <v>0</v>
      </c>
      <c r="L781" s="75">
        <v>3393919.2</v>
      </c>
      <c r="M781" s="75">
        <v>0</v>
      </c>
      <c r="N781" s="87">
        <v>0</v>
      </c>
      <c r="O781" s="75">
        <v>0</v>
      </c>
      <c r="P781" s="87">
        <v>0</v>
      </c>
      <c r="Q781" s="75">
        <v>0</v>
      </c>
      <c r="R781" s="75">
        <f>23412.09+72629.87</f>
        <v>96041.959999999992</v>
      </c>
      <c r="S781" s="75">
        <v>0</v>
      </c>
      <c r="T781" s="75">
        <v>0</v>
      </c>
      <c r="W781" s="40"/>
      <c r="X781" s="40"/>
      <c r="Y781" s="40"/>
      <c r="Z781" s="40"/>
      <c r="AA781" s="40"/>
      <c r="AB781" s="40"/>
      <c r="AC781" s="40"/>
      <c r="AD781" s="40"/>
      <c r="AE781" s="40"/>
      <c r="AF781" s="40"/>
      <c r="AG781" s="40"/>
      <c r="AH781" s="40"/>
      <c r="AI781" s="40"/>
      <c r="AJ781" s="23"/>
      <c r="AK781" s="23"/>
      <c r="AL781" s="23"/>
      <c r="AM781" s="23"/>
    </row>
    <row r="782" spans="1:39" s="44" customFormat="1" ht="22.9" customHeight="1" x14ac:dyDescent="0.25">
      <c r="A782" s="266">
        <v>12</v>
      </c>
      <c r="B782" s="38" t="s">
        <v>1344</v>
      </c>
      <c r="C782" s="75">
        <f t="shared" si="168"/>
        <v>5958371.5700000003</v>
      </c>
      <c r="D782" s="75">
        <f t="shared" si="169"/>
        <v>0</v>
      </c>
      <c r="E782" s="75">
        <v>0</v>
      </c>
      <c r="F782" s="75">
        <v>0</v>
      </c>
      <c r="G782" s="75">
        <v>0</v>
      </c>
      <c r="H782" s="75">
        <v>0</v>
      </c>
      <c r="I782" s="75">
        <v>0</v>
      </c>
      <c r="J782" s="152">
        <v>0</v>
      </c>
      <c r="K782" s="75">
        <v>0</v>
      </c>
      <c r="L782" s="75">
        <v>5313475.2</v>
      </c>
      <c r="M782" s="75">
        <v>0</v>
      </c>
      <c r="N782" s="75">
        <v>0</v>
      </c>
      <c r="O782" s="75">
        <v>0</v>
      </c>
      <c r="P782" s="75">
        <f t="shared" ref="P782:P783" si="170">265594+265594</f>
        <v>531188</v>
      </c>
      <c r="Q782" s="75">
        <v>0</v>
      </c>
      <c r="R782" s="75">
        <f>113708.37</f>
        <v>113708.37</v>
      </c>
      <c r="S782" s="75">
        <v>0</v>
      </c>
      <c r="T782" s="75">
        <v>0</v>
      </c>
      <c r="W782" s="23"/>
      <c r="X782" s="23"/>
      <c r="Y782" s="23"/>
      <c r="Z782" s="23"/>
      <c r="AA782" s="23"/>
      <c r="AB782" s="23"/>
      <c r="AC782" s="23"/>
      <c r="AD782" s="23"/>
      <c r="AE782" s="23"/>
      <c r="AF782" s="23"/>
      <c r="AG782" s="23"/>
      <c r="AH782" s="23"/>
      <c r="AI782" s="23"/>
      <c r="AJ782" s="23"/>
      <c r="AK782" s="23"/>
      <c r="AL782" s="23"/>
      <c r="AM782" s="23"/>
    </row>
    <row r="783" spans="1:39" s="44" customFormat="1" ht="22.9" customHeight="1" x14ac:dyDescent="0.25">
      <c r="A783" s="266">
        <v>13</v>
      </c>
      <c r="B783" s="38" t="s">
        <v>1345</v>
      </c>
      <c r="C783" s="75">
        <f t="shared" si="168"/>
        <v>5785320.2599999998</v>
      </c>
      <c r="D783" s="75">
        <f t="shared" si="169"/>
        <v>0</v>
      </c>
      <c r="E783" s="75">
        <v>0</v>
      </c>
      <c r="F783" s="75">
        <v>0</v>
      </c>
      <c r="G783" s="75">
        <v>0</v>
      </c>
      <c r="H783" s="75">
        <v>0</v>
      </c>
      <c r="I783" s="75">
        <v>0</v>
      </c>
      <c r="J783" s="152">
        <v>0</v>
      </c>
      <c r="K783" s="75">
        <v>0</v>
      </c>
      <c r="L783" s="75">
        <v>5144049.5999999996</v>
      </c>
      <c r="M783" s="75">
        <v>0</v>
      </c>
      <c r="N783" s="75">
        <v>0</v>
      </c>
      <c r="O783" s="75">
        <v>0</v>
      </c>
      <c r="P783" s="75">
        <f t="shared" si="170"/>
        <v>531188</v>
      </c>
      <c r="Q783" s="75">
        <v>0</v>
      </c>
      <c r="R783" s="75">
        <f>110082.66</f>
        <v>110082.66</v>
      </c>
      <c r="S783" s="75">
        <v>0</v>
      </c>
      <c r="T783" s="75">
        <v>0</v>
      </c>
      <c r="W783" s="23"/>
      <c r="X783" s="23"/>
      <c r="Y783" s="23"/>
      <c r="Z783" s="23"/>
      <c r="AA783" s="23"/>
      <c r="AB783" s="23"/>
      <c r="AC783" s="23"/>
      <c r="AD783" s="23"/>
      <c r="AE783" s="23"/>
      <c r="AF783" s="23"/>
      <c r="AG783" s="23"/>
      <c r="AH783" s="23"/>
      <c r="AI783" s="23"/>
      <c r="AJ783" s="23"/>
      <c r="AK783" s="23"/>
      <c r="AL783" s="23"/>
      <c r="AM783" s="23"/>
    </row>
    <row r="784" spans="1:39" s="44" customFormat="1" ht="22.9" customHeight="1" x14ac:dyDescent="0.25">
      <c r="A784" s="266">
        <v>14</v>
      </c>
      <c r="B784" s="38" t="s">
        <v>1346</v>
      </c>
      <c r="C784" s="75">
        <f t="shared" si="168"/>
        <v>5951501.8099999996</v>
      </c>
      <c r="D784" s="75">
        <f t="shared" si="169"/>
        <v>0</v>
      </c>
      <c r="E784" s="75">
        <v>0</v>
      </c>
      <c r="F784" s="75">
        <v>0</v>
      </c>
      <c r="G784" s="75">
        <v>0</v>
      </c>
      <c r="H784" s="75">
        <v>0</v>
      </c>
      <c r="I784" s="75">
        <v>0</v>
      </c>
      <c r="J784" s="152">
        <v>0</v>
      </c>
      <c r="K784" s="75">
        <v>0</v>
      </c>
      <c r="L784" s="75">
        <v>5046720</v>
      </c>
      <c r="M784" s="75">
        <v>0</v>
      </c>
      <c r="N784" s="75">
        <v>0</v>
      </c>
      <c r="O784" s="75">
        <v>0</v>
      </c>
      <c r="P784" s="75">
        <f>265594+265594+265594</f>
        <v>796782</v>
      </c>
      <c r="Q784" s="75">
        <v>0</v>
      </c>
      <c r="R784" s="75">
        <f>107999.81</f>
        <v>107999.81</v>
      </c>
      <c r="S784" s="75">
        <v>0</v>
      </c>
      <c r="T784" s="75">
        <v>0</v>
      </c>
      <c r="W784" s="23"/>
      <c r="X784" s="23"/>
      <c r="Y784" s="23"/>
      <c r="Z784" s="23"/>
      <c r="AA784" s="23"/>
      <c r="AB784" s="23"/>
      <c r="AC784" s="23"/>
      <c r="AD784" s="23"/>
      <c r="AE784" s="23"/>
      <c r="AF784" s="23"/>
      <c r="AG784" s="23"/>
      <c r="AH784" s="23"/>
      <c r="AI784" s="23"/>
      <c r="AJ784" s="23"/>
      <c r="AK784" s="23"/>
      <c r="AL784" s="23"/>
      <c r="AM784" s="23"/>
    </row>
    <row r="785" spans="1:39" s="44" customFormat="1" ht="22.9" customHeight="1" x14ac:dyDescent="0.25">
      <c r="A785" s="266">
        <v>15</v>
      </c>
      <c r="B785" s="38" t="s">
        <v>1347</v>
      </c>
      <c r="C785" s="75">
        <f t="shared" si="168"/>
        <v>16248742.83</v>
      </c>
      <c r="D785" s="75">
        <f t="shared" si="169"/>
        <v>0</v>
      </c>
      <c r="E785" s="75">
        <v>0</v>
      </c>
      <c r="F785" s="75">
        <v>0</v>
      </c>
      <c r="G785" s="75">
        <v>0</v>
      </c>
      <c r="H785" s="75">
        <v>0</v>
      </c>
      <c r="I785" s="75">
        <v>0</v>
      </c>
      <c r="J785" s="152">
        <v>0</v>
      </c>
      <c r="K785" s="75">
        <v>0</v>
      </c>
      <c r="L785" s="75">
        <v>14536141.4</v>
      </c>
      <c r="M785" s="75">
        <v>0</v>
      </c>
      <c r="N785" s="75">
        <v>0</v>
      </c>
      <c r="O785" s="75">
        <v>0</v>
      </c>
      <c r="P785" s="75">
        <f>350382+350382+350382+350382</f>
        <v>1401528</v>
      </c>
      <c r="Q785" s="75">
        <v>0</v>
      </c>
      <c r="R785" s="75">
        <f>311073.43</f>
        <v>311073.43</v>
      </c>
      <c r="S785" s="75">
        <v>0</v>
      </c>
      <c r="T785" s="75">
        <v>0</v>
      </c>
      <c r="W785" s="23"/>
      <c r="X785" s="23"/>
      <c r="Y785" s="23"/>
      <c r="Z785" s="23"/>
      <c r="AA785" s="23"/>
      <c r="AB785" s="23"/>
      <c r="AC785" s="23"/>
      <c r="AD785" s="23"/>
      <c r="AE785" s="23"/>
      <c r="AF785" s="23"/>
      <c r="AG785" s="23"/>
      <c r="AH785" s="23"/>
      <c r="AI785" s="23"/>
      <c r="AJ785" s="23"/>
      <c r="AK785" s="23"/>
      <c r="AL785" s="23"/>
      <c r="AM785" s="23"/>
    </row>
    <row r="786" spans="1:39" s="44" customFormat="1" ht="22.9" customHeight="1" x14ac:dyDescent="0.25">
      <c r="A786" s="266">
        <v>16</v>
      </c>
      <c r="B786" s="38" t="s">
        <v>1348</v>
      </c>
      <c r="C786" s="75">
        <f t="shared" si="168"/>
        <v>350382</v>
      </c>
      <c r="D786" s="75">
        <f t="shared" si="169"/>
        <v>0</v>
      </c>
      <c r="E786" s="75">
        <v>0</v>
      </c>
      <c r="F786" s="87">
        <v>0</v>
      </c>
      <c r="G786" s="75">
        <v>0</v>
      </c>
      <c r="H786" s="75">
        <v>0</v>
      </c>
      <c r="I786" s="75">
        <v>0</v>
      </c>
      <c r="J786" s="152">
        <v>0</v>
      </c>
      <c r="K786" s="75">
        <v>0</v>
      </c>
      <c r="L786" s="75">
        <v>0</v>
      </c>
      <c r="M786" s="75">
        <v>0</v>
      </c>
      <c r="N786" s="75">
        <v>0</v>
      </c>
      <c r="O786" s="75">
        <v>0</v>
      </c>
      <c r="P786" s="87">
        <v>350382</v>
      </c>
      <c r="Q786" s="75">
        <v>0</v>
      </c>
      <c r="R786" s="75">
        <v>0</v>
      </c>
      <c r="S786" s="75">
        <v>0</v>
      </c>
      <c r="T786" s="75">
        <v>0</v>
      </c>
      <c r="U786" s="276"/>
      <c r="V786" s="276"/>
      <c r="W786" s="276"/>
      <c r="X786" s="276"/>
      <c r="Y786" s="276"/>
      <c r="Z786" s="276"/>
      <c r="AA786" s="276"/>
      <c r="AB786" s="276"/>
      <c r="AC786" s="276"/>
      <c r="AD786" s="276"/>
      <c r="AE786" s="276"/>
      <c r="AF786" s="276"/>
      <c r="AG786" s="276"/>
      <c r="AH786" s="276"/>
      <c r="AI786" s="276"/>
      <c r="AJ786" s="276"/>
      <c r="AK786" s="276"/>
      <c r="AL786" s="276"/>
      <c r="AM786" s="276"/>
    </row>
    <row r="787" spans="1:39" s="44" customFormat="1" ht="22.9" customHeight="1" x14ac:dyDescent="0.25">
      <c r="A787" s="266">
        <v>17</v>
      </c>
      <c r="B787" s="38" t="s">
        <v>1349</v>
      </c>
      <c r="C787" s="75">
        <f t="shared" si="168"/>
        <v>22901492.329999998</v>
      </c>
      <c r="D787" s="75">
        <f t="shared" si="169"/>
        <v>4712442</v>
      </c>
      <c r="E787" s="75">
        <v>4712442</v>
      </c>
      <c r="F787" s="87">
        <v>0</v>
      </c>
      <c r="G787" s="75">
        <v>0</v>
      </c>
      <c r="H787" s="75">
        <v>0</v>
      </c>
      <c r="I787" s="75">
        <v>0</v>
      </c>
      <c r="J787" s="152">
        <v>0</v>
      </c>
      <c r="K787" s="75">
        <v>0</v>
      </c>
      <c r="L787" s="75">
        <v>15994022</v>
      </c>
      <c r="M787" s="75">
        <v>0</v>
      </c>
      <c r="N787" s="75">
        <v>0</v>
      </c>
      <c r="O787" s="75">
        <v>0</v>
      </c>
      <c r="P787" s="87">
        <f t="shared" ref="P787:P788" si="171">350382*5</f>
        <v>1751910</v>
      </c>
      <c r="Q787" s="75">
        <v>0</v>
      </c>
      <c r="R787" s="75">
        <f>342272.07+100846.26</f>
        <v>443118.33</v>
      </c>
      <c r="S787" s="75">
        <v>0</v>
      </c>
      <c r="T787" s="75">
        <v>0</v>
      </c>
      <c r="U787" s="277"/>
      <c r="V787" s="277"/>
      <c r="W787" s="277"/>
      <c r="X787" s="277"/>
      <c r="Y787" s="277"/>
      <c r="Z787" s="277"/>
      <c r="AA787" s="277"/>
      <c r="AB787" s="277"/>
      <c r="AC787" s="277"/>
      <c r="AD787" s="277"/>
      <c r="AE787" s="277"/>
      <c r="AF787" s="277"/>
      <c r="AG787" s="277"/>
      <c r="AH787" s="277"/>
      <c r="AI787" s="277"/>
      <c r="AJ787" s="277"/>
      <c r="AK787" s="277"/>
      <c r="AL787" s="277"/>
      <c r="AM787" s="277"/>
    </row>
    <row r="788" spans="1:39" s="44" customFormat="1" ht="22.9" customHeight="1" x14ac:dyDescent="0.25">
      <c r="A788" s="266">
        <v>18</v>
      </c>
      <c r="B788" s="38" t="s">
        <v>1350</v>
      </c>
      <c r="C788" s="75">
        <f t="shared" si="168"/>
        <v>21488309.440000001</v>
      </c>
      <c r="D788" s="75">
        <f t="shared" si="169"/>
        <v>4397563.8</v>
      </c>
      <c r="E788" s="87">
        <v>4397563.8</v>
      </c>
      <c r="F788" s="87">
        <v>0</v>
      </c>
      <c r="G788" s="75">
        <v>0</v>
      </c>
      <c r="H788" s="87">
        <v>0</v>
      </c>
      <c r="I788" s="87">
        <v>0</v>
      </c>
      <c r="J788" s="152">
        <v>0</v>
      </c>
      <c r="K788" s="75">
        <v>0</v>
      </c>
      <c r="L788" s="75">
        <v>14925325.800000001</v>
      </c>
      <c r="M788" s="75">
        <v>0</v>
      </c>
      <c r="N788" s="75">
        <v>0</v>
      </c>
      <c r="O788" s="75">
        <v>0</v>
      </c>
      <c r="P788" s="87">
        <f t="shared" si="171"/>
        <v>1751910</v>
      </c>
      <c r="Q788" s="75">
        <v>0</v>
      </c>
      <c r="R788" s="75">
        <f>319401.97+94107.87</f>
        <v>413509.83999999997</v>
      </c>
      <c r="S788" s="75">
        <v>0</v>
      </c>
      <c r="T788" s="75">
        <v>0</v>
      </c>
      <c r="U788" s="277"/>
      <c r="V788" s="277"/>
      <c r="W788" s="277"/>
      <c r="X788" s="277"/>
      <c r="Y788" s="277"/>
      <c r="Z788" s="277"/>
      <c r="AA788" s="277"/>
      <c r="AB788" s="277"/>
      <c r="AC788" s="277"/>
      <c r="AD788" s="277"/>
      <c r="AE788" s="277"/>
      <c r="AF788" s="277"/>
      <c r="AG788" s="277"/>
      <c r="AH788" s="277"/>
      <c r="AI788" s="277"/>
      <c r="AJ788" s="277"/>
      <c r="AK788" s="277"/>
      <c r="AL788" s="277"/>
      <c r="AM788" s="277"/>
    </row>
    <row r="789" spans="1:39" s="44" customFormat="1" ht="22.9" customHeight="1" x14ac:dyDescent="0.25">
      <c r="A789" s="322" t="s">
        <v>741</v>
      </c>
      <c r="B789" s="322"/>
      <c r="C789" s="118">
        <f t="shared" ref="C789:T789" si="172">C790</f>
        <v>7386044.8600000003</v>
      </c>
      <c r="D789" s="118">
        <f t="shared" si="172"/>
        <v>0</v>
      </c>
      <c r="E789" s="118">
        <f t="shared" si="172"/>
        <v>0</v>
      </c>
      <c r="F789" s="118">
        <f t="shared" si="172"/>
        <v>0</v>
      </c>
      <c r="G789" s="118">
        <f t="shared" si="172"/>
        <v>0</v>
      </c>
      <c r="H789" s="118">
        <f t="shared" si="172"/>
        <v>0</v>
      </c>
      <c r="I789" s="118">
        <f t="shared" si="172"/>
        <v>0</v>
      </c>
      <c r="J789" s="119">
        <f t="shared" si="172"/>
        <v>0</v>
      </c>
      <c r="K789" s="118">
        <f t="shared" si="172"/>
        <v>0</v>
      </c>
      <c r="L789" s="118">
        <f t="shared" si="172"/>
        <v>6711236.4000000004</v>
      </c>
      <c r="M789" s="118">
        <f t="shared" si="172"/>
        <v>0</v>
      </c>
      <c r="N789" s="118">
        <f t="shared" si="172"/>
        <v>0</v>
      </c>
      <c r="O789" s="118">
        <f t="shared" si="172"/>
        <v>0</v>
      </c>
      <c r="P789" s="118">
        <f t="shared" si="172"/>
        <v>531188</v>
      </c>
      <c r="Q789" s="118">
        <f t="shared" si="172"/>
        <v>0</v>
      </c>
      <c r="R789" s="118">
        <f t="shared" si="172"/>
        <v>143620.46</v>
      </c>
      <c r="S789" s="118">
        <f t="shared" si="172"/>
        <v>0</v>
      </c>
      <c r="T789" s="118">
        <f t="shared" si="172"/>
        <v>0</v>
      </c>
      <c r="U789" s="276"/>
      <c r="V789" s="276"/>
      <c r="W789" s="23"/>
      <c r="X789" s="23"/>
      <c r="Y789" s="23"/>
      <c r="Z789" s="23"/>
      <c r="AA789" s="23"/>
      <c r="AB789" s="23"/>
      <c r="AC789" s="23"/>
      <c r="AD789" s="23"/>
      <c r="AE789" s="23"/>
      <c r="AF789" s="23"/>
      <c r="AG789" s="23"/>
      <c r="AH789" s="23"/>
      <c r="AI789" s="23"/>
      <c r="AJ789" s="23"/>
      <c r="AK789" s="23"/>
      <c r="AL789" s="23"/>
      <c r="AM789" s="23"/>
    </row>
    <row r="790" spans="1:39" s="44" customFormat="1" ht="22.9" customHeight="1" x14ac:dyDescent="0.25">
      <c r="A790" s="25">
        <v>1</v>
      </c>
      <c r="B790" s="26" t="s">
        <v>742</v>
      </c>
      <c r="C790" s="75">
        <f>D790+K790+L790+M790+N790+O790+P790+Q790+R790+S790+T790</f>
        <v>7386044.8600000003</v>
      </c>
      <c r="D790" s="75">
        <f>SUM(E790:I790)</f>
        <v>0</v>
      </c>
      <c r="E790" s="75">
        <v>0</v>
      </c>
      <c r="F790" s="75">
        <v>0</v>
      </c>
      <c r="G790" s="75">
        <v>0</v>
      </c>
      <c r="H790" s="75">
        <v>0</v>
      </c>
      <c r="I790" s="87">
        <v>0</v>
      </c>
      <c r="J790" s="152">
        <v>0</v>
      </c>
      <c r="K790" s="75">
        <v>0</v>
      </c>
      <c r="L790" s="87">
        <v>6711236.4000000004</v>
      </c>
      <c r="M790" s="75">
        <v>0</v>
      </c>
      <c r="N790" s="87">
        <v>0</v>
      </c>
      <c r="O790" s="75">
        <v>0</v>
      </c>
      <c r="P790" s="268">
        <f>265594+265594</f>
        <v>531188</v>
      </c>
      <c r="Q790" s="75">
        <v>0</v>
      </c>
      <c r="R790" s="75">
        <v>143620.46</v>
      </c>
      <c r="S790" s="75">
        <v>0</v>
      </c>
      <c r="T790" s="75">
        <v>0</v>
      </c>
      <c r="U790" s="99"/>
      <c r="V790" s="99"/>
    </row>
    <row r="791" spans="1:39" s="23" customFormat="1" ht="22.9" customHeight="1" x14ac:dyDescent="0.25">
      <c r="A791" s="322" t="s">
        <v>516</v>
      </c>
      <c r="B791" s="322"/>
      <c r="C791" s="118">
        <f t="shared" ref="C791:T791" si="173">SUM(C792:C811)</f>
        <v>86201098.680000022</v>
      </c>
      <c r="D791" s="118">
        <f t="shared" si="173"/>
        <v>19403687.359999999</v>
      </c>
      <c r="E791" s="118">
        <f t="shared" si="173"/>
        <v>8740241.790000001</v>
      </c>
      <c r="F791" s="118">
        <f t="shared" si="173"/>
        <v>6589366.9099999992</v>
      </c>
      <c r="G791" s="118">
        <f t="shared" si="173"/>
        <v>966174.4</v>
      </c>
      <c r="H791" s="118">
        <f t="shared" si="173"/>
        <v>1172669.75</v>
      </c>
      <c r="I791" s="118">
        <f t="shared" si="173"/>
        <v>1935234.5100000002</v>
      </c>
      <c r="J791" s="119">
        <f t="shared" si="173"/>
        <v>0</v>
      </c>
      <c r="K791" s="118">
        <f t="shared" si="173"/>
        <v>0</v>
      </c>
      <c r="L791" s="118">
        <f t="shared" si="173"/>
        <v>47435677.600000001</v>
      </c>
      <c r="M791" s="118">
        <f t="shared" si="173"/>
        <v>0</v>
      </c>
      <c r="N791" s="118">
        <f t="shared" si="173"/>
        <v>13048359.970000001</v>
      </c>
      <c r="O791" s="118">
        <f t="shared" si="173"/>
        <v>0</v>
      </c>
      <c r="P791" s="118">
        <f t="shared" si="173"/>
        <v>4503868</v>
      </c>
      <c r="Q791" s="118">
        <f t="shared" si="173"/>
        <v>0</v>
      </c>
      <c r="R791" s="118">
        <f t="shared" si="173"/>
        <v>1809505.7499999998</v>
      </c>
      <c r="S791" s="118">
        <f t="shared" si="173"/>
        <v>0</v>
      </c>
      <c r="T791" s="118">
        <f t="shared" si="173"/>
        <v>0</v>
      </c>
      <c r="U791" s="238"/>
      <c r="V791" s="238"/>
    </row>
    <row r="792" spans="1:39" s="44" customFormat="1" ht="21.6" customHeight="1" x14ac:dyDescent="0.25">
      <c r="A792" s="25">
        <v>1</v>
      </c>
      <c r="B792" s="26" t="s">
        <v>529</v>
      </c>
      <c r="C792" s="75">
        <f t="shared" ref="C792:C811" si="174">D792+K792+L792+M792+N792+O792+P792+Q792+R792+S792+T792</f>
        <v>7045039.8099999996</v>
      </c>
      <c r="D792" s="75">
        <f t="shared" ref="D792:D811" si="175">SUM(E792:I792)</f>
        <v>0</v>
      </c>
      <c r="E792" s="75">
        <v>0</v>
      </c>
      <c r="F792" s="75">
        <v>0</v>
      </c>
      <c r="G792" s="75">
        <v>0</v>
      </c>
      <c r="H792" s="75">
        <v>0</v>
      </c>
      <c r="I792" s="87">
        <v>0</v>
      </c>
      <c r="J792" s="152">
        <v>0</v>
      </c>
      <c r="K792" s="75">
        <v>0</v>
      </c>
      <c r="L792" s="87">
        <v>1260382.5</v>
      </c>
      <c r="M792" s="75">
        <v>0</v>
      </c>
      <c r="N792" s="87">
        <v>5637006</v>
      </c>
      <c r="O792" s="75">
        <v>0</v>
      </c>
      <c r="P792" s="268">
        <v>0</v>
      </c>
      <c r="Q792" s="75">
        <v>0</v>
      </c>
      <c r="R792" s="75">
        <f>120670.5+26980.81</f>
        <v>147651.31</v>
      </c>
      <c r="S792" s="75">
        <v>0</v>
      </c>
      <c r="T792" s="75">
        <v>0</v>
      </c>
      <c r="U792" s="243"/>
      <c r="V792" s="243"/>
    </row>
    <row r="793" spans="1:39" s="44" customFormat="1" ht="21.6" customHeight="1" x14ac:dyDescent="0.25">
      <c r="A793" s="25">
        <v>2</v>
      </c>
      <c r="B793" s="26" t="s">
        <v>1351</v>
      </c>
      <c r="C793" s="75">
        <f t="shared" si="174"/>
        <v>664337.73</v>
      </c>
      <c r="D793" s="75">
        <f t="shared" si="175"/>
        <v>390389.4</v>
      </c>
      <c r="E793" s="87">
        <v>0</v>
      </c>
      <c r="F793" s="87">
        <v>0</v>
      </c>
      <c r="G793" s="75">
        <v>0</v>
      </c>
      <c r="H793" s="87">
        <v>390389.4</v>
      </c>
      <c r="I793" s="75">
        <v>0</v>
      </c>
      <c r="J793" s="152">
        <v>0</v>
      </c>
      <c r="K793" s="87">
        <v>0</v>
      </c>
      <c r="L793" s="98">
        <v>0</v>
      </c>
      <c r="M793" s="42">
        <v>0</v>
      </c>
      <c r="N793" s="98">
        <v>0</v>
      </c>
      <c r="O793" s="75">
        <v>0</v>
      </c>
      <c r="P793" s="87">
        <v>265594</v>
      </c>
      <c r="Q793" s="75">
        <v>0</v>
      </c>
      <c r="R793" s="75">
        <v>8354.33</v>
      </c>
      <c r="S793" s="75">
        <v>0</v>
      </c>
      <c r="T793" s="75">
        <v>0</v>
      </c>
      <c r="U793" s="243"/>
      <c r="V793" s="243"/>
      <c r="W793" s="186"/>
      <c r="X793" s="186"/>
      <c r="Y793" s="186"/>
      <c r="Z793" s="186"/>
      <c r="AA793" s="186"/>
      <c r="AB793" s="186"/>
      <c r="AC793" s="186"/>
      <c r="AD793" s="186"/>
      <c r="AE793" s="186"/>
      <c r="AF793" s="186"/>
      <c r="AG793" s="186"/>
      <c r="AH793" s="186"/>
      <c r="AI793" s="186"/>
    </row>
    <row r="794" spans="1:39" s="44" customFormat="1" ht="21.6" customHeight="1" x14ac:dyDescent="0.25">
      <c r="A794" s="25">
        <v>3</v>
      </c>
      <c r="B794" s="26" t="s">
        <v>530</v>
      </c>
      <c r="C794" s="75">
        <f t="shared" si="174"/>
        <v>3346180.12</v>
      </c>
      <c r="D794" s="75">
        <f t="shared" si="175"/>
        <v>0</v>
      </c>
      <c r="E794" s="87">
        <v>0</v>
      </c>
      <c r="F794" s="87">
        <v>0</v>
      </c>
      <c r="G794" s="75">
        <v>0</v>
      </c>
      <c r="H794" s="87">
        <v>0</v>
      </c>
      <c r="I794" s="75">
        <v>0</v>
      </c>
      <c r="J794" s="152">
        <v>0</v>
      </c>
      <c r="K794" s="87">
        <v>0</v>
      </c>
      <c r="L794" s="98">
        <v>0</v>
      </c>
      <c r="M794" s="42">
        <v>0</v>
      </c>
      <c r="N794" s="98">
        <v>3248210.47</v>
      </c>
      <c r="O794" s="75">
        <v>0</v>
      </c>
      <c r="P794" s="87">
        <v>0</v>
      </c>
      <c r="Q794" s="75">
        <v>0</v>
      </c>
      <c r="R794" s="75">
        <v>97969.65</v>
      </c>
      <c r="S794" s="75">
        <v>0</v>
      </c>
      <c r="T794" s="75">
        <v>0</v>
      </c>
      <c r="U794" s="243"/>
      <c r="V794" s="243"/>
      <c r="W794" s="186"/>
      <c r="X794" s="186"/>
      <c r="Y794" s="186"/>
      <c r="Z794" s="186"/>
      <c r="AA794" s="186"/>
      <c r="AB794" s="186"/>
      <c r="AC794" s="186"/>
      <c r="AD794" s="186"/>
      <c r="AE794" s="186"/>
      <c r="AF794" s="186"/>
      <c r="AG794" s="186"/>
      <c r="AH794" s="186"/>
      <c r="AI794" s="186"/>
    </row>
    <row r="795" spans="1:39" s="44" customFormat="1" ht="21.6" customHeight="1" x14ac:dyDescent="0.25">
      <c r="A795" s="25">
        <v>4</v>
      </c>
      <c r="B795" s="26" t="s">
        <v>1352</v>
      </c>
      <c r="C795" s="75">
        <f t="shared" si="174"/>
        <v>18473186.109999999</v>
      </c>
      <c r="D795" s="75">
        <f t="shared" si="175"/>
        <v>0</v>
      </c>
      <c r="E795" s="75">
        <v>0</v>
      </c>
      <c r="F795" s="75">
        <v>0</v>
      </c>
      <c r="G795" s="75">
        <v>0</v>
      </c>
      <c r="H795" s="75">
        <v>0</v>
      </c>
      <c r="I795" s="87">
        <v>0</v>
      </c>
      <c r="J795" s="152">
        <v>0</v>
      </c>
      <c r="K795" s="75">
        <v>0</v>
      </c>
      <c r="L795" s="75">
        <v>13606365.300000001</v>
      </c>
      <c r="M795" s="87">
        <v>0</v>
      </c>
      <c r="N795" s="87">
        <v>4163143.5</v>
      </c>
      <c r="O795" s="75">
        <v>0</v>
      </c>
      <c r="P795" s="268">
        <v>350382</v>
      </c>
      <c r="Q795" s="75">
        <v>0</v>
      </c>
      <c r="R795" s="75">
        <f>291176.22+62119.09</f>
        <v>353295.30999999994</v>
      </c>
      <c r="S795" s="75">
        <v>0</v>
      </c>
      <c r="T795" s="75">
        <v>0</v>
      </c>
      <c r="U795" s="243"/>
      <c r="V795" s="243"/>
    </row>
    <row r="796" spans="1:39" s="44" customFormat="1" ht="21.6" customHeight="1" x14ac:dyDescent="0.25">
      <c r="A796" s="25">
        <v>5</v>
      </c>
      <c r="B796" s="26" t="s">
        <v>534</v>
      </c>
      <c r="C796" s="75">
        <f t="shared" si="174"/>
        <v>14824129.32</v>
      </c>
      <c r="D796" s="75">
        <f t="shared" si="175"/>
        <v>0</v>
      </c>
      <c r="E796" s="75">
        <v>0</v>
      </c>
      <c r="F796" s="75">
        <v>0</v>
      </c>
      <c r="G796" s="75">
        <v>0</v>
      </c>
      <c r="H796" s="75">
        <v>0</v>
      </c>
      <c r="I796" s="87">
        <v>0</v>
      </c>
      <c r="J796" s="152">
        <v>0</v>
      </c>
      <c r="K796" s="75">
        <v>0</v>
      </c>
      <c r="L796" s="87">
        <v>14513768.5</v>
      </c>
      <c r="M796" s="75">
        <v>0</v>
      </c>
      <c r="N796" s="87">
        <v>0</v>
      </c>
      <c r="O796" s="75">
        <v>0</v>
      </c>
      <c r="P796" s="268">
        <v>0</v>
      </c>
      <c r="Q796" s="75">
        <v>0</v>
      </c>
      <c r="R796" s="75">
        <v>310360.82</v>
      </c>
      <c r="S796" s="75">
        <v>0</v>
      </c>
      <c r="T796" s="75">
        <v>0</v>
      </c>
      <c r="U796" s="243"/>
      <c r="V796" s="243"/>
    </row>
    <row r="797" spans="1:39" s="44" customFormat="1" ht="21.6" customHeight="1" x14ac:dyDescent="0.25">
      <c r="A797" s="25">
        <v>6</v>
      </c>
      <c r="B797" s="34" t="s">
        <v>1353</v>
      </c>
      <c r="C797" s="75">
        <f t="shared" si="174"/>
        <v>390184.42</v>
      </c>
      <c r="D797" s="75">
        <f t="shared" si="175"/>
        <v>356928.6</v>
      </c>
      <c r="E797" s="75">
        <v>0</v>
      </c>
      <c r="F797" s="75">
        <v>0</v>
      </c>
      <c r="G797" s="75">
        <v>356928.6</v>
      </c>
      <c r="H797" s="75">
        <v>0</v>
      </c>
      <c r="I797" s="75">
        <v>0</v>
      </c>
      <c r="J797" s="152">
        <v>0</v>
      </c>
      <c r="K797" s="75">
        <v>0</v>
      </c>
      <c r="L797" s="75">
        <v>0</v>
      </c>
      <c r="M797" s="75">
        <v>0</v>
      </c>
      <c r="N797" s="75">
        <v>0</v>
      </c>
      <c r="O797" s="75">
        <v>0</v>
      </c>
      <c r="P797" s="75">
        <v>0</v>
      </c>
      <c r="Q797" s="75">
        <v>0</v>
      </c>
      <c r="R797" s="75">
        <v>33255.82</v>
      </c>
      <c r="S797" s="75">
        <v>0</v>
      </c>
      <c r="T797" s="75">
        <v>0</v>
      </c>
      <c r="U797" s="243"/>
      <c r="V797" s="243"/>
      <c r="W797" s="186"/>
      <c r="X797" s="186"/>
      <c r="Y797" s="186"/>
      <c r="Z797" s="186"/>
      <c r="AA797" s="186"/>
      <c r="AB797" s="186"/>
      <c r="AC797" s="186"/>
      <c r="AD797" s="186"/>
      <c r="AE797" s="186"/>
      <c r="AF797" s="186"/>
      <c r="AG797" s="186"/>
      <c r="AH797" s="186"/>
      <c r="AI797" s="186"/>
    </row>
    <row r="798" spans="1:39" s="40" customFormat="1" ht="24.75" customHeight="1" x14ac:dyDescent="0.25">
      <c r="A798" s="25">
        <v>7</v>
      </c>
      <c r="B798" s="26" t="s">
        <v>744</v>
      </c>
      <c r="C798" s="75">
        <f t="shared" si="174"/>
        <v>2972346.33</v>
      </c>
      <c r="D798" s="75">
        <f t="shared" si="175"/>
        <v>2898507.2800000003</v>
      </c>
      <c r="E798" s="75">
        <v>0</v>
      </c>
      <c r="F798" s="75">
        <v>1778609.57</v>
      </c>
      <c r="G798" s="75">
        <v>205179.72</v>
      </c>
      <c r="H798" s="75">
        <v>262548.49</v>
      </c>
      <c r="I798" s="75">
        <v>652169.5</v>
      </c>
      <c r="J798" s="152">
        <v>0</v>
      </c>
      <c r="K798" s="75">
        <v>0</v>
      </c>
      <c r="L798" s="75">
        <v>0</v>
      </c>
      <c r="M798" s="75">
        <v>0</v>
      </c>
      <c r="N798" s="75">
        <v>0</v>
      </c>
      <c r="O798" s="75">
        <v>0</v>
      </c>
      <c r="P798" s="75">
        <v>0</v>
      </c>
      <c r="Q798" s="75">
        <v>0</v>
      </c>
      <c r="R798" s="42">
        <f>15257.86+38475.78+12357.28+7748.13</f>
        <v>73839.05</v>
      </c>
      <c r="S798" s="75">
        <v>0</v>
      </c>
      <c r="T798" s="75">
        <v>0</v>
      </c>
      <c r="U798" s="243"/>
      <c r="V798" s="243"/>
    </row>
    <row r="799" spans="1:39" s="40" customFormat="1" ht="24.75" customHeight="1" x14ac:dyDescent="0.25">
      <c r="A799" s="25">
        <v>8</v>
      </c>
      <c r="B799" s="26" t="s">
        <v>1354</v>
      </c>
      <c r="C799" s="75">
        <f t="shared" si="174"/>
        <v>1248522.01</v>
      </c>
      <c r="D799" s="75">
        <f t="shared" si="175"/>
        <v>704262.79</v>
      </c>
      <c r="E799" s="75">
        <v>704262.79</v>
      </c>
      <c r="F799" s="75">
        <v>0</v>
      </c>
      <c r="G799" s="75">
        <v>0</v>
      </c>
      <c r="H799" s="75">
        <v>0</v>
      </c>
      <c r="I799" s="75">
        <v>0</v>
      </c>
      <c r="J799" s="152">
        <v>0</v>
      </c>
      <c r="K799" s="75">
        <v>0</v>
      </c>
      <c r="L799" s="75">
        <v>0</v>
      </c>
      <c r="M799" s="75">
        <v>0</v>
      </c>
      <c r="N799" s="75">
        <v>0</v>
      </c>
      <c r="O799" s="75">
        <v>0</v>
      </c>
      <c r="P799" s="75">
        <f t="shared" ref="P799:P802" si="176">265594+265594</f>
        <v>531188</v>
      </c>
      <c r="Q799" s="75">
        <v>0</v>
      </c>
      <c r="R799" s="42">
        <v>13071.22</v>
      </c>
      <c r="S799" s="75">
        <v>0</v>
      </c>
      <c r="T799" s="75">
        <v>0</v>
      </c>
      <c r="U799" s="243"/>
      <c r="V799" s="243"/>
    </row>
    <row r="800" spans="1:39" s="40" customFormat="1" ht="24.75" customHeight="1" x14ac:dyDescent="0.25">
      <c r="A800" s="25">
        <v>9</v>
      </c>
      <c r="B800" s="26" t="s">
        <v>1355</v>
      </c>
      <c r="C800" s="75">
        <f t="shared" si="174"/>
        <v>1181954.2200000002</v>
      </c>
      <c r="D800" s="75">
        <f t="shared" si="175"/>
        <v>637131.6</v>
      </c>
      <c r="E800" s="75">
        <v>637131.6</v>
      </c>
      <c r="F800" s="75">
        <v>0</v>
      </c>
      <c r="G800" s="75">
        <v>0</v>
      </c>
      <c r="H800" s="75">
        <v>0</v>
      </c>
      <c r="I800" s="75">
        <v>0</v>
      </c>
      <c r="J800" s="152">
        <v>0</v>
      </c>
      <c r="K800" s="75">
        <v>0</v>
      </c>
      <c r="L800" s="75">
        <v>0</v>
      </c>
      <c r="M800" s="75">
        <v>0</v>
      </c>
      <c r="N800" s="75">
        <v>0</v>
      </c>
      <c r="O800" s="75">
        <v>0</v>
      </c>
      <c r="P800" s="75">
        <f t="shared" si="176"/>
        <v>531188</v>
      </c>
      <c r="Q800" s="75">
        <v>0</v>
      </c>
      <c r="R800" s="42">
        <v>13634.62</v>
      </c>
      <c r="S800" s="75">
        <v>0</v>
      </c>
      <c r="T800" s="75">
        <v>0</v>
      </c>
      <c r="U800" s="243"/>
      <c r="V800" s="243"/>
    </row>
    <row r="801" spans="1:42" s="40" customFormat="1" ht="24.75" customHeight="1" x14ac:dyDescent="0.25">
      <c r="A801" s="25">
        <v>10</v>
      </c>
      <c r="B801" s="26" t="s">
        <v>1356</v>
      </c>
      <c r="C801" s="75">
        <f t="shared" si="174"/>
        <v>2528747.7400000002</v>
      </c>
      <c r="D801" s="75">
        <f t="shared" si="175"/>
        <v>1955707.6</v>
      </c>
      <c r="E801" s="75">
        <v>1955707.6</v>
      </c>
      <c r="F801" s="75">
        <v>0</v>
      </c>
      <c r="G801" s="75">
        <v>0</v>
      </c>
      <c r="H801" s="75">
        <v>0</v>
      </c>
      <c r="I801" s="75">
        <v>0</v>
      </c>
      <c r="J801" s="152">
        <v>0</v>
      </c>
      <c r="K801" s="75">
        <v>0</v>
      </c>
      <c r="L801" s="75">
        <v>0</v>
      </c>
      <c r="M801" s="75">
        <v>0</v>
      </c>
      <c r="N801" s="75">
        <v>0</v>
      </c>
      <c r="O801" s="75">
        <v>0</v>
      </c>
      <c r="P801" s="75">
        <f t="shared" si="176"/>
        <v>531188</v>
      </c>
      <c r="Q801" s="75">
        <v>0</v>
      </c>
      <c r="R801" s="42">
        <v>41852.14</v>
      </c>
      <c r="S801" s="75">
        <v>0</v>
      </c>
      <c r="T801" s="75">
        <v>0</v>
      </c>
      <c r="U801" s="243"/>
      <c r="V801" s="243"/>
    </row>
    <row r="802" spans="1:42" s="40" customFormat="1" ht="24.75" customHeight="1" x14ac:dyDescent="0.25">
      <c r="A802" s="25">
        <v>11</v>
      </c>
      <c r="B802" s="26" t="s">
        <v>1357</v>
      </c>
      <c r="C802" s="75">
        <f t="shared" si="174"/>
        <v>1240462.46</v>
      </c>
      <c r="D802" s="75">
        <f t="shared" si="175"/>
        <v>694414</v>
      </c>
      <c r="E802" s="75">
        <v>694414</v>
      </c>
      <c r="F802" s="75">
        <v>0</v>
      </c>
      <c r="G802" s="75">
        <v>0</v>
      </c>
      <c r="H802" s="75">
        <v>0</v>
      </c>
      <c r="I802" s="75">
        <v>0</v>
      </c>
      <c r="J802" s="152">
        <v>0</v>
      </c>
      <c r="K802" s="75">
        <v>0</v>
      </c>
      <c r="L802" s="75">
        <v>0</v>
      </c>
      <c r="M802" s="75">
        <v>0</v>
      </c>
      <c r="N802" s="75">
        <v>0</v>
      </c>
      <c r="O802" s="75">
        <v>0</v>
      </c>
      <c r="P802" s="75">
        <f t="shared" si="176"/>
        <v>531188</v>
      </c>
      <c r="Q802" s="75">
        <v>0</v>
      </c>
      <c r="R802" s="42">
        <v>14860.46</v>
      </c>
      <c r="S802" s="75">
        <v>0</v>
      </c>
      <c r="T802" s="75">
        <v>0</v>
      </c>
      <c r="U802" s="243"/>
      <c r="V802" s="243"/>
    </row>
    <row r="803" spans="1:42" s="40" customFormat="1" ht="24.75" customHeight="1" x14ac:dyDescent="0.25">
      <c r="A803" s="25">
        <v>12</v>
      </c>
      <c r="B803" s="26" t="s">
        <v>1358</v>
      </c>
      <c r="C803" s="75">
        <f t="shared" si="174"/>
        <v>5031868.8499999996</v>
      </c>
      <c r="D803" s="75">
        <f t="shared" si="175"/>
        <v>0</v>
      </c>
      <c r="E803" s="75">
        <v>0</v>
      </c>
      <c r="F803" s="75">
        <v>0</v>
      </c>
      <c r="G803" s="75">
        <v>0</v>
      </c>
      <c r="H803" s="75">
        <v>0</v>
      </c>
      <c r="I803" s="75">
        <v>0</v>
      </c>
      <c r="J803" s="152">
        <v>0</v>
      </c>
      <c r="K803" s="75">
        <v>0</v>
      </c>
      <c r="L803" s="75">
        <v>4666413.5999999996</v>
      </c>
      <c r="M803" s="75">
        <v>0</v>
      </c>
      <c r="N803" s="75">
        <v>0</v>
      </c>
      <c r="O803" s="75">
        <v>0</v>
      </c>
      <c r="P803" s="75">
        <f>265594</f>
        <v>265594</v>
      </c>
      <c r="Q803" s="75">
        <v>0</v>
      </c>
      <c r="R803" s="42">
        <v>99861.25</v>
      </c>
      <c r="S803" s="75">
        <v>0</v>
      </c>
      <c r="T803" s="75">
        <v>0</v>
      </c>
      <c r="U803" s="243"/>
      <c r="V803" s="243"/>
    </row>
    <row r="804" spans="1:42" s="44" customFormat="1" ht="25.15" customHeight="1" x14ac:dyDescent="0.25">
      <c r="A804" s="25">
        <v>13</v>
      </c>
      <c r="B804" s="26" t="s">
        <v>1359</v>
      </c>
      <c r="C804" s="75">
        <f t="shared" si="174"/>
        <v>8170439.4900000002</v>
      </c>
      <c r="D804" s="75">
        <f t="shared" si="175"/>
        <v>0</v>
      </c>
      <c r="E804" s="75">
        <v>0</v>
      </c>
      <c r="F804" s="75">
        <v>0</v>
      </c>
      <c r="G804" s="75">
        <v>0</v>
      </c>
      <c r="H804" s="75">
        <v>0</v>
      </c>
      <c r="I804" s="75">
        <v>0</v>
      </c>
      <c r="J804" s="152">
        <v>0</v>
      </c>
      <c r="K804" s="75">
        <v>0</v>
      </c>
      <c r="L804" s="75">
        <v>7656214.5</v>
      </c>
      <c r="M804" s="75">
        <v>0</v>
      </c>
      <c r="N804" s="75">
        <v>0</v>
      </c>
      <c r="O804" s="75">
        <v>0</v>
      </c>
      <c r="P804" s="75">
        <v>350382</v>
      </c>
      <c r="Q804" s="75">
        <v>0</v>
      </c>
      <c r="R804" s="42">
        <v>163842.99</v>
      </c>
      <c r="S804" s="75">
        <v>0</v>
      </c>
      <c r="T804" s="75">
        <v>0</v>
      </c>
      <c r="U804" s="243"/>
      <c r="V804" s="243"/>
    </row>
    <row r="805" spans="1:42" s="44" customFormat="1" ht="25.15" customHeight="1" x14ac:dyDescent="0.25">
      <c r="A805" s="25">
        <v>14</v>
      </c>
      <c r="B805" s="26" t="s">
        <v>1360</v>
      </c>
      <c r="C805" s="75">
        <f t="shared" si="174"/>
        <v>4699408.72</v>
      </c>
      <c r="D805" s="75">
        <f t="shared" si="175"/>
        <v>4257907.5</v>
      </c>
      <c r="E805" s="75">
        <v>4257907.5</v>
      </c>
      <c r="F805" s="75">
        <v>0</v>
      </c>
      <c r="G805" s="75">
        <v>0</v>
      </c>
      <c r="H805" s="75">
        <v>0</v>
      </c>
      <c r="I805" s="75">
        <v>0</v>
      </c>
      <c r="J805" s="152">
        <v>0</v>
      </c>
      <c r="K805" s="75">
        <v>0</v>
      </c>
      <c r="L805" s="75">
        <v>0</v>
      </c>
      <c r="M805" s="75">
        <v>0</v>
      </c>
      <c r="N805" s="75">
        <v>0</v>
      </c>
      <c r="O805" s="75">
        <v>0</v>
      </c>
      <c r="P805" s="75">
        <v>350382</v>
      </c>
      <c r="Q805" s="75">
        <v>0</v>
      </c>
      <c r="R805" s="42">
        <v>91119.22</v>
      </c>
      <c r="S805" s="75">
        <v>0</v>
      </c>
      <c r="T805" s="75">
        <v>0</v>
      </c>
      <c r="U805" s="243"/>
      <c r="V805" s="243"/>
      <c r="W805" s="40"/>
      <c r="X805" s="40"/>
      <c r="Y805" s="40"/>
      <c r="Z805" s="40"/>
      <c r="AA805" s="40"/>
      <c r="AB805" s="40"/>
      <c r="AC805" s="40"/>
      <c r="AD805" s="40"/>
      <c r="AE805" s="40"/>
      <c r="AF805" s="40"/>
      <c r="AG805" s="40"/>
      <c r="AH805" s="40"/>
      <c r="AI805" s="40"/>
      <c r="AJ805" s="40"/>
      <c r="AK805" s="40"/>
      <c r="AL805" s="40"/>
      <c r="AM805" s="40"/>
    </row>
    <row r="806" spans="1:42" s="44" customFormat="1" ht="25.15" customHeight="1" x14ac:dyDescent="0.25">
      <c r="A806" s="25">
        <v>15</v>
      </c>
      <c r="B806" s="26" t="s">
        <v>554</v>
      </c>
      <c r="C806" s="75">
        <f t="shared" si="174"/>
        <v>2907278.39</v>
      </c>
      <c r="D806" s="75">
        <f t="shared" si="175"/>
        <v>2815130.7600000002</v>
      </c>
      <c r="E806" s="75">
        <v>0</v>
      </c>
      <c r="F806" s="75">
        <v>1718233.15</v>
      </c>
      <c r="G806" s="75">
        <v>202033.04</v>
      </c>
      <c r="H806" s="75">
        <v>259865.93</v>
      </c>
      <c r="I806" s="75">
        <v>634998.64</v>
      </c>
      <c r="J806" s="152">
        <v>0</v>
      </c>
      <c r="K806" s="75">
        <v>0</v>
      </c>
      <c r="L806" s="75">
        <v>0</v>
      </c>
      <c r="M806" s="75">
        <v>0</v>
      </c>
      <c r="N806" s="75">
        <v>0</v>
      </c>
      <c r="O806" s="75">
        <v>0</v>
      </c>
      <c r="P806" s="75">
        <v>0</v>
      </c>
      <c r="Q806" s="75">
        <v>0</v>
      </c>
      <c r="R806" s="42">
        <f>15326.89+38649.85+17974.51+12413.19+7783.19</f>
        <v>92147.63</v>
      </c>
      <c r="S806" s="75">
        <v>0</v>
      </c>
      <c r="T806" s="75">
        <v>0</v>
      </c>
      <c r="U806" s="243"/>
      <c r="V806" s="243"/>
    </row>
    <row r="807" spans="1:42" s="40" customFormat="1" ht="24" customHeight="1" x14ac:dyDescent="0.25">
      <c r="A807" s="25">
        <v>16</v>
      </c>
      <c r="B807" s="26" t="s">
        <v>555</v>
      </c>
      <c r="C807" s="75">
        <f t="shared" si="174"/>
        <v>2930770.81</v>
      </c>
      <c r="D807" s="75">
        <f t="shared" si="175"/>
        <v>2838744.73</v>
      </c>
      <c r="E807" s="75">
        <v>0</v>
      </c>
      <c r="F807" s="75">
        <v>1728779.39</v>
      </c>
      <c r="G807" s="75">
        <v>202033.04</v>
      </c>
      <c r="H807" s="75">
        <v>259865.93</v>
      </c>
      <c r="I807" s="75">
        <v>648066.37</v>
      </c>
      <c r="J807" s="152">
        <v>0</v>
      </c>
      <c r="K807" s="75">
        <v>0</v>
      </c>
      <c r="L807" s="75">
        <v>0</v>
      </c>
      <c r="M807" s="75">
        <v>0</v>
      </c>
      <c r="N807" s="75">
        <v>0</v>
      </c>
      <c r="O807" s="75">
        <v>0</v>
      </c>
      <c r="P807" s="75">
        <v>0</v>
      </c>
      <c r="Q807" s="75">
        <v>0</v>
      </c>
      <c r="R807" s="42">
        <f>15306.68+38598.87+17950.8+12396.81+7772.92</f>
        <v>92026.08</v>
      </c>
      <c r="S807" s="75">
        <v>0</v>
      </c>
      <c r="T807" s="75">
        <v>0</v>
      </c>
      <c r="U807" s="243"/>
      <c r="V807" s="243"/>
    </row>
    <row r="808" spans="1:42" s="40" customFormat="1" ht="24" customHeight="1" x14ac:dyDescent="0.25">
      <c r="A808" s="25">
        <v>17</v>
      </c>
      <c r="B808" s="26" t="s">
        <v>556</v>
      </c>
      <c r="C808" s="75">
        <f t="shared" si="174"/>
        <v>1392928.93</v>
      </c>
      <c r="D808" s="75">
        <f t="shared" si="175"/>
        <v>1363744.8</v>
      </c>
      <c r="E808" s="75">
        <v>0</v>
      </c>
      <c r="F808" s="75">
        <v>1363744.8</v>
      </c>
      <c r="G808" s="75">
        <v>0</v>
      </c>
      <c r="H808" s="75">
        <v>0</v>
      </c>
      <c r="I808" s="75">
        <v>0</v>
      </c>
      <c r="J808" s="152">
        <v>0</v>
      </c>
      <c r="K808" s="75">
        <v>0</v>
      </c>
      <c r="L808" s="75">
        <v>0</v>
      </c>
      <c r="M808" s="75">
        <v>0</v>
      </c>
      <c r="N808" s="75">
        <v>0</v>
      </c>
      <c r="O808" s="75">
        <v>0</v>
      </c>
      <c r="P808" s="75">
        <v>0</v>
      </c>
      <c r="Q808" s="75">
        <v>0</v>
      </c>
      <c r="R808" s="75">
        <v>29184.13</v>
      </c>
      <c r="S808" s="75">
        <v>0</v>
      </c>
      <c r="T808" s="75">
        <v>0</v>
      </c>
      <c r="U808" s="243"/>
      <c r="V808" s="243"/>
      <c r="W808" s="186"/>
      <c r="X808" s="186"/>
      <c r="Y808" s="186"/>
      <c r="Z808" s="186"/>
      <c r="AA808" s="186"/>
      <c r="AB808" s="186"/>
      <c r="AC808" s="186"/>
      <c r="AD808" s="186"/>
      <c r="AE808" s="186"/>
      <c r="AF808" s="186"/>
      <c r="AG808" s="186"/>
      <c r="AH808" s="186"/>
      <c r="AI808" s="186"/>
      <c r="AJ808" s="186"/>
      <c r="AK808" s="186"/>
      <c r="AL808" s="186"/>
      <c r="AM808" s="186"/>
      <c r="AN808" s="186"/>
      <c r="AO808" s="186"/>
      <c r="AP808" s="186"/>
    </row>
    <row r="809" spans="1:42" s="40" customFormat="1" ht="24" customHeight="1" x14ac:dyDescent="0.25">
      <c r="A809" s="25">
        <v>18</v>
      </c>
      <c r="B809" s="100" t="s">
        <v>1361</v>
      </c>
      <c r="C809" s="75">
        <f t="shared" si="174"/>
        <v>1032509.81</v>
      </c>
      <c r="D809" s="75">
        <f t="shared" si="175"/>
        <v>490818.3</v>
      </c>
      <c r="E809" s="87">
        <v>490818.3</v>
      </c>
      <c r="F809" s="87">
        <v>0</v>
      </c>
      <c r="G809" s="87">
        <v>0</v>
      </c>
      <c r="H809" s="87">
        <v>0</v>
      </c>
      <c r="I809" s="87">
        <v>0</v>
      </c>
      <c r="J809" s="240">
        <v>0</v>
      </c>
      <c r="K809" s="87">
        <v>0</v>
      </c>
      <c r="L809" s="87">
        <v>0</v>
      </c>
      <c r="M809" s="87">
        <v>0</v>
      </c>
      <c r="N809" s="87">
        <v>0</v>
      </c>
      <c r="O809" s="87">
        <v>0</v>
      </c>
      <c r="P809" s="87">
        <f>265594+265594</f>
        <v>531188</v>
      </c>
      <c r="Q809" s="87">
        <v>0</v>
      </c>
      <c r="R809" s="87">
        <v>10503.51</v>
      </c>
      <c r="S809" s="87">
        <v>0</v>
      </c>
      <c r="T809" s="87">
        <v>0</v>
      </c>
      <c r="U809" s="264"/>
      <c r="V809" s="264"/>
      <c r="W809" s="186"/>
      <c r="X809" s="186"/>
      <c r="Y809" s="186"/>
      <c r="Z809" s="186"/>
      <c r="AA809" s="186"/>
      <c r="AB809" s="186"/>
      <c r="AC809" s="186"/>
      <c r="AD809" s="186"/>
      <c r="AE809" s="186"/>
      <c r="AF809" s="186"/>
      <c r="AG809" s="186"/>
      <c r="AH809" s="186"/>
      <c r="AI809" s="186"/>
    </row>
    <row r="810" spans="1:42" s="40" customFormat="1" ht="24" customHeight="1" x14ac:dyDescent="0.25">
      <c r="A810" s="25">
        <v>19</v>
      </c>
      <c r="B810" s="100" t="s">
        <v>561</v>
      </c>
      <c r="C810" s="75">
        <f t="shared" si="174"/>
        <v>3139776.6500000004</v>
      </c>
      <c r="D810" s="75">
        <f t="shared" si="175"/>
        <v>0</v>
      </c>
      <c r="E810" s="87">
        <v>0</v>
      </c>
      <c r="F810" s="87">
        <v>0</v>
      </c>
      <c r="G810" s="87">
        <v>0</v>
      </c>
      <c r="H810" s="87">
        <v>0</v>
      </c>
      <c r="I810" s="87">
        <v>0</v>
      </c>
      <c r="J810" s="240">
        <v>0</v>
      </c>
      <c r="K810" s="87">
        <v>0</v>
      </c>
      <c r="L810" s="87">
        <v>3073993.2</v>
      </c>
      <c r="M810" s="87">
        <v>0</v>
      </c>
      <c r="N810" s="87">
        <v>0</v>
      </c>
      <c r="O810" s="87">
        <v>0</v>
      </c>
      <c r="P810" s="87">
        <v>0</v>
      </c>
      <c r="Q810" s="87">
        <v>0</v>
      </c>
      <c r="R810" s="87">
        <v>65783.45</v>
      </c>
      <c r="S810" s="87">
        <v>0</v>
      </c>
      <c r="T810" s="87">
        <v>0</v>
      </c>
      <c r="U810" s="264"/>
      <c r="V810" s="264"/>
      <c r="W810" s="186"/>
      <c r="X810" s="186"/>
      <c r="Y810" s="186"/>
      <c r="Z810" s="186"/>
      <c r="AA810" s="186"/>
      <c r="AB810" s="186"/>
      <c r="AC810" s="186"/>
      <c r="AD810" s="186"/>
      <c r="AE810" s="186"/>
      <c r="AF810" s="186"/>
      <c r="AG810" s="186"/>
      <c r="AH810" s="186"/>
      <c r="AI810" s="186"/>
    </row>
    <row r="811" spans="1:42" s="40" customFormat="1" ht="24" customHeight="1" x14ac:dyDescent="0.25">
      <c r="A811" s="25">
        <v>20</v>
      </c>
      <c r="B811" s="100" t="s">
        <v>1362</v>
      </c>
      <c r="C811" s="75">
        <f t="shared" si="174"/>
        <v>2981026.76</v>
      </c>
      <c r="D811" s="75">
        <f t="shared" si="175"/>
        <v>0</v>
      </c>
      <c r="E811" s="87">
        <v>0</v>
      </c>
      <c r="F811" s="87">
        <v>0</v>
      </c>
      <c r="G811" s="87">
        <v>0</v>
      </c>
      <c r="H811" s="87">
        <v>0</v>
      </c>
      <c r="I811" s="87">
        <v>0</v>
      </c>
      <c r="J811" s="240">
        <v>0</v>
      </c>
      <c r="K811" s="87">
        <v>0</v>
      </c>
      <c r="L811" s="87">
        <v>2658540</v>
      </c>
      <c r="M811" s="87">
        <v>0</v>
      </c>
      <c r="N811" s="87">
        <v>0</v>
      </c>
      <c r="O811" s="87">
        <v>0</v>
      </c>
      <c r="P811" s="87">
        <v>265594</v>
      </c>
      <c r="Q811" s="87">
        <v>0</v>
      </c>
      <c r="R811" s="87">
        <v>56892.76</v>
      </c>
      <c r="S811" s="87">
        <v>0</v>
      </c>
      <c r="T811" s="87">
        <v>0</v>
      </c>
      <c r="U811" s="264"/>
      <c r="V811" s="264"/>
      <c r="W811" s="186"/>
      <c r="X811" s="186"/>
      <c r="Y811" s="186"/>
      <c r="Z811" s="186"/>
      <c r="AA811" s="186"/>
      <c r="AB811" s="186"/>
      <c r="AC811" s="186"/>
      <c r="AD811" s="186"/>
      <c r="AE811" s="186"/>
      <c r="AF811" s="186"/>
      <c r="AG811" s="186"/>
      <c r="AH811" s="186"/>
      <c r="AI811" s="186"/>
    </row>
    <row r="812" spans="1:42" s="163" customFormat="1" ht="22.5" customHeight="1" x14ac:dyDescent="0.25">
      <c r="A812" s="356" t="s">
        <v>751</v>
      </c>
      <c r="B812" s="356"/>
      <c r="C812" s="271"/>
      <c r="D812" s="271"/>
      <c r="E812" s="271"/>
      <c r="F812" s="271"/>
      <c r="G812" s="271"/>
      <c r="H812" s="271"/>
      <c r="I812" s="271"/>
      <c r="J812" s="272"/>
      <c r="K812" s="271"/>
      <c r="L812" s="271"/>
      <c r="M812" s="271"/>
      <c r="N812" s="271"/>
      <c r="O812" s="271"/>
      <c r="P812" s="271"/>
      <c r="Q812" s="271"/>
      <c r="R812" s="271"/>
      <c r="S812" s="271"/>
      <c r="T812" s="271"/>
      <c r="U812" s="273"/>
      <c r="V812" s="273"/>
    </row>
    <row r="813" spans="1:42" s="161" customFormat="1" ht="22.5" customHeight="1" x14ac:dyDescent="0.25">
      <c r="A813" s="357" t="s">
        <v>38</v>
      </c>
      <c r="B813" s="357"/>
      <c r="C813" s="278">
        <f t="shared" ref="C813:T813" si="177">C814+C844+C846+C848+C865+C867+C876+C878+C884+C891+C896+C900+C903+C908+C912+C915+C921+C924+C939</f>
        <v>833790019.1400001</v>
      </c>
      <c r="D813" s="278">
        <f t="shared" si="177"/>
        <v>303611964.08000004</v>
      </c>
      <c r="E813" s="278">
        <f t="shared" si="177"/>
        <v>53835305.870000005</v>
      </c>
      <c r="F813" s="278">
        <f t="shared" si="177"/>
        <v>138816805.91999999</v>
      </c>
      <c r="G813" s="278">
        <f t="shared" si="177"/>
        <v>60629588.479999989</v>
      </c>
      <c r="H813" s="278">
        <f t="shared" si="177"/>
        <v>18319668.930000003</v>
      </c>
      <c r="I813" s="278">
        <f t="shared" si="177"/>
        <v>32010594.879999995</v>
      </c>
      <c r="J813" s="279">
        <f t="shared" si="177"/>
        <v>7</v>
      </c>
      <c r="K813" s="278">
        <f t="shared" si="177"/>
        <v>36839649</v>
      </c>
      <c r="L813" s="278">
        <f t="shared" si="177"/>
        <v>214232221.22</v>
      </c>
      <c r="M813" s="278">
        <f t="shared" si="177"/>
        <v>1222277.3999999999</v>
      </c>
      <c r="N813" s="278">
        <f t="shared" si="177"/>
        <v>172085875.88</v>
      </c>
      <c r="O813" s="278">
        <f t="shared" si="177"/>
        <v>0</v>
      </c>
      <c r="P813" s="278">
        <f t="shared" si="177"/>
        <v>15930901.59</v>
      </c>
      <c r="Q813" s="278">
        <f t="shared" si="177"/>
        <v>0</v>
      </c>
      <c r="R813" s="278">
        <f t="shared" si="177"/>
        <v>15368815.469999999</v>
      </c>
      <c r="S813" s="278">
        <f t="shared" si="177"/>
        <v>74498314.5</v>
      </c>
      <c r="T813" s="278">
        <f t="shared" si="177"/>
        <v>0</v>
      </c>
      <c r="U813" s="235"/>
      <c r="V813" s="235"/>
    </row>
    <row r="814" spans="1:42" s="186" customFormat="1" ht="22.5" customHeight="1" x14ac:dyDescent="0.25">
      <c r="A814" s="322" t="s">
        <v>41</v>
      </c>
      <c r="B814" s="322"/>
      <c r="C814" s="118">
        <f t="shared" ref="C814:T814" si="178">SUM(C815:C843)</f>
        <v>280305800.20000005</v>
      </c>
      <c r="D814" s="118">
        <f t="shared" si="178"/>
        <v>95539490.300000012</v>
      </c>
      <c r="E814" s="118">
        <f t="shared" si="178"/>
        <v>44093832.300000004</v>
      </c>
      <c r="F814" s="118">
        <f t="shared" si="178"/>
        <v>14879428.1</v>
      </c>
      <c r="G814" s="118">
        <f t="shared" si="178"/>
        <v>24285482.099999998</v>
      </c>
      <c r="H814" s="118">
        <f t="shared" si="178"/>
        <v>4732575.9700000007</v>
      </c>
      <c r="I814" s="118">
        <f t="shared" si="178"/>
        <v>7548171.8300000001</v>
      </c>
      <c r="J814" s="119">
        <f t="shared" si="178"/>
        <v>7</v>
      </c>
      <c r="K814" s="118">
        <f t="shared" si="178"/>
        <v>36839649</v>
      </c>
      <c r="L814" s="118">
        <f t="shared" si="178"/>
        <v>51660593.910000004</v>
      </c>
      <c r="M814" s="118">
        <f t="shared" si="178"/>
        <v>0</v>
      </c>
      <c r="N814" s="118">
        <f t="shared" si="178"/>
        <v>90221864.609999999</v>
      </c>
      <c r="O814" s="118">
        <f t="shared" si="178"/>
        <v>0</v>
      </c>
      <c r="P814" s="118">
        <f t="shared" si="178"/>
        <v>1678665.59</v>
      </c>
      <c r="Q814" s="118">
        <f t="shared" si="178"/>
        <v>0</v>
      </c>
      <c r="R814" s="118">
        <f t="shared" si="178"/>
        <v>4365536.79</v>
      </c>
      <c r="S814" s="118">
        <f t="shared" si="178"/>
        <v>0</v>
      </c>
      <c r="T814" s="118">
        <f t="shared" si="178"/>
        <v>0</v>
      </c>
      <c r="U814" s="238"/>
      <c r="V814" s="238"/>
    </row>
    <row r="815" spans="1:42" s="40" customFormat="1" ht="21.75" customHeight="1" x14ac:dyDescent="0.25">
      <c r="A815" s="259">
        <v>1</v>
      </c>
      <c r="B815" s="34" t="s">
        <v>66</v>
      </c>
      <c r="C815" s="75">
        <f t="shared" ref="C815:C843" si="179">D815+K815+L815+M815+N815+O815+P815+Q815+R815+S815+T815</f>
        <v>10658612.869999999</v>
      </c>
      <c r="D815" s="75">
        <f t="shared" ref="D815:D843" si="180">SUM(E815:I815)</f>
        <v>0</v>
      </c>
      <c r="E815" s="263">
        <v>0</v>
      </c>
      <c r="F815" s="261">
        <v>0</v>
      </c>
      <c r="G815" s="263">
        <v>0</v>
      </c>
      <c r="H815" s="263">
        <v>0</v>
      </c>
      <c r="I815" s="263">
        <v>0</v>
      </c>
      <c r="J815" s="262">
        <v>0</v>
      </c>
      <c r="K815" s="261">
        <v>0</v>
      </c>
      <c r="L815" s="261">
        <v>0</v>
      </c>
      <c r="M815" s="261">
        <v>0</v>
      </c>
      <c r="N815" s="263">
        <v>10435297.5</v>
      </c>
      <c r="O815" s="261">
        <v>0</v>
      </c>
      <c r="P815" s="263">
        <v>0</v>
      </c>
      <c r="Q815" s="261">
        <v>0</v>
      </c>
      <c r="R815" s="261">
        <v>223315.37</v>
      </c>
      <c r="S815" s="261">
        <v>0</v>
      </c>
      <c r="T815" s="261">
        <v>0</v>
      </c>
      <c r="U815" s="238"/>
      <c r="V815" s="238"/>
    </row>
    <row r="816" spans="1:42" s="40" customFormat="1" ht="21.75" customHeight="1" x14ac:dyDescent="0.25">
      <c r="A816" s="259">
        <v>2</v>
      </c>
      <c r="B816" s="34" t="s">
        <v>71</v>
      </c>
      <c r="C816" s="75">
        <f t="shared" si="179"/>
        <v>5608933.8300000001</v>
      </c>
      <c r="D816" s="75">
        <f t="shared" si="180"/>
        <v>0</v>
      </c>
      <c r="E816" s="263">
        <v>0</v>
      </c>
      <c r="F816" s="261">
        <v>0</v>
      </c>
      <c r="G816" s="261">
        <v>0</v>
      </c>
      <c r="H816" s="263">
        <v>0</v>
      </c>
      <c r="I816" s="261">
        <v>0</v>
      </c>
      <c r="J816" s="262">
        <v>0</v>
      </c>
      <c r="K816" s="261">
        <v>0</v>
      </c>
      <c r="L816" s="261">
        <v>0</v>
      </c>
      <c r="M816" s="261">
        <v>0</v>
      </c>
      <c r="N816" s="263">
        <v>5491417.5</v>
      </c>
      <c r="O816" s="261">
        <v>0</v>
      </c>
      <c r="P816" s="261">
        <v>0</v>
      </c>
      <c r="Q816" s="261">
        <v>0</v>
      </c>
      <c r="R816" s="261">
        <v>117516.33</v>
      </c>
      <c r="S816" s="261">
        <v>0</v>
      </c>
      <c r="T816" s="261">
        <v>0</v>
      </c>
      <c r="U816" s="238"/>
      <c r="V816" s="238"/>
      <c r="W816" s="186"/>
      <c r="X816" s="186"/>
      <c r="Y816" s="186"/>
      <c r="Z816" s="186"/>
      <c r="AA816" s="186"/>
      <c r="AB816" s="186"/>
      <c r="AC816" s="186"/>
      <c r="AD816" s="186"/>
      <c r="AE816" s="186"/>
      <c r="AF816" s="186"/>
      <c r="AG816" s="186"/>
      <c r="AH816" s="186"/>
      <c r="AI816" s="186"/>
    </row>
    <row r="817" spans="1:35" s="40" customFormat="1" ht="21.75" customHeight="1" x14ac:dyDescent="0.25">
      <c r="A817" s="259">
        <v>3</v>
      </c>
      <c r="B817" s="274" t="s">
        <v>576</v>
      </c>
      <c r="C817" s="75">
        <f t="shared" si="179"/>
        <v>63242316.950000003</v>
      </c>
      <c r="D817" s="75">
        <f t="shared" si="180"/>
        <v>61917287</v>
      </c>
      <c r="E817" s="263">
        <v>33540353.700000003</v>
      </c>
      <c r="F817" s="261">
        <v>0</v>
      </c>
      <c r="G817" s="263">
        <v>17218694.300000001</v>
      </c>
      <c r="H817" s="263">
        <v>4310143.3000000007</v>
      </c>
      <c r="I817" s="263">
        <v>6848095.7000000002</v>
      </c>
      <c r="J817" s="262">
        <v>0</v>
      </c>
      <c r="K817" s="261">
        <v>0</v>
      </c>
      <c r="L817" s="261">
        <v>0</v>
      </c>
      <c r="M817" s="261">
        <v>0</v>
      </c>
      <c r="N817" s="261">
        <v>0</v>
      </c>
      <c r="O817" s="261">
        <v>0</v>
      </c>
      <c r="P817" s="261">
        <v>0</v>
      </c>
      <c r="Q817" s="261">
        <v>0</v>
      </c>
      <c r="R817" s="261">
        <f>146549.25+717763.57+368480.06+92237.07</f>
        <v>1325029.95</v>
      </c>
      <c r="S817" s="261">
        <v>0</v>
      </c>
      <c r="T817" s="261">
        <v>0</v>
      </c>
      <c r="U817" s="238"/>
      <c r="V817" s="238"/>
    </row>
    <row r="818" spans="1:35" s="40" customFormat="1" ht="21.75" customHeight="1" x14ac:dyDescent="0.25">
      <c r="A818" s="259">
        <v>4</v>
      </c>
      <c r="B818" s="274" t="s">
        <v>92</v>
      </c>
      <c r="C818" s="75">
        <f t="shared" si="179"/>
        <v>571815.57000000007</v>
      </c>
      <c r="D818" s="75">
        <f t="shared" si="180"/>
        <v>559835.10000000009</v>
      </c>
      <c r="E818" s="263">
        <v>0</v>
      </c>
      <c r="F818" s="263">
        <v>0</v>
      </c>
      <c r="G818" s="263">
        <v>0</v>
      </c>
      <c r="H818" s="263">
        <v>188545.5</v>
      </c>
      <c r="I818" s="263">
        <v>371289.60000000003</v>
      </c>
      <c r="J818" s="262">
        <v>0</v>
      </c>
      <c r="K818" s="261">
        <v>0</v>
      </c>
      <c r="L818" s="261">
        <v>0</v>
      </c>
      <c r="M818" s="261">
        <v>0</v>
      </c>
      <c r="N818" s="261">
        <v>0</v>
      </c>
      <c r="O818" s="261">
        <v>0</v>
      </c>
      <c r="P818" s="261">
        <v>0</v>
      </c>
      <c r="Q818" s="261">
        <v>0</v>
      </c>
      <c r="R818" s="261">
        <f>4034.87+7945.6</f>
        <v>11980.470000000001</v>
      </c>
      <c r="S818" s="261">
        <v>0</v>
      </c>
      <c r="T818" s="261">
        <v>0</v>
      </c>
      <c r="U818" s="238"/>
      <c r="V818" s="238"/>
      <c r="W818" s="186"/>
      <c r="X818" s="186"/>
      <c r="Y818" s="186"/>
      <c r="Z818" s="186"/>
      <c r="AA818" s="186"/>
      <c r="AB818" s="186"/>
      <c r="AC818" s="186"/>
      <c r="AD818" s="186"/>
      <c r="AE818" s="186"/>
      <c r="AF818" s="186"/>
      <c r="AG818" s="186"/>
      <c r="AH818" s="186"/>
      <c r="AI818" s="186"/>
    </row>
    <row r="819" spans="1:35" s="40" customFormat="1" ht="21.75" customHeight="1" x14ac:dyDescent="0.25">
      <c r="A819" s="259">
        <v>5</v>
      </c>
      <c r="B819" s="274" t="s">
        <v>120</v>
      </c>
      <c r="C819" s="75">
        <f t="shared" si="179"/>
        <v>6591735.9000000004</v>
      </c>
      <c r="D819" s="75">
        <f t="shared" si="180"/>
        <v>0</v>
      </c>
      <c r="E819" s="263">
        <v>0</v>
      </c>
      <c r="F819" s="261">
        <v>0</v>
      </c>
      <c r="G819" s="261">
        <v>0</v>
      </c>
      <c r="H819" s="263">
        <v>0</v>
      </c>
      <c r="I819" s="261">
        <v>0</v>
      </c>
      <c r="J819" s="262">
        <v>0</v>
      </c>
      <c r="K819" s="261">
        <v>0</v>
      </c>
      <c r="L819" s="263">
        <v>6591735.9000000004</v>
      </c>
      <c r="M819" s="261">
        <v>0</v>
      </c>
      <c r="N819" s="261">
        <v>0</v>
      </c>
      <c r="O819" s="261">
        <v>0</v>
      </c>
      <c r="P819" s="263">
        <v>0</v>
      </c>
      <c r="Q819" s="261">
        <v>0</v>
      </c>
      <c r="R819" s="261">
        <v>0</v>
      </c>
      <c r="S819" s="261">
        <v>0</v>
      </c>
      <c r="T819" s="261">
        <v>0</v>
      </c>
      <c r="U819" s="238"/>
      <c r="V819" s="238"/>
    </row>
    <row r="820" spans="1:35" s="40" customFormat="1" ht="21.75" customHeight="1" x14ac:dyDescent="0.25">
      <c r="A820" s="259">
        <v>6</v>
      </c>
      <c r="B820" s="274" t="s">
        <v>125</v>
      </c>
      <c r="C820" s="75">
        <f t="shared" si="179"/>
        <v>574714.92000000004</v>
      </c>
      <c r="D820" s="75">
        <f t="shared" si="180"/>
        <v>562673.70000000007</v>
      </c>
      <c r="E820" s="263">
        <v>0</v>
      </c>
      <c r="F820" s="261">
        <v>0</v>
      </c>
      <c r="G820" s="261">
        <v>0</v>
      </c>
      <c r="H820" s="263">
        <v>233887.17</v>
      </c>
      <c r="I820" s="263">
        <v>328786.53000000003</v>
      </c>
      <c r="J820" s="262">
        <v>0</v>
      </c>
      <c r="K820" s="261">
        <v>0</v>
      </c>
      <c r="L820" s="263">
        <v>0</v>
      </c>
      <c r="M820" s="261">
        <v>0</v>
      </c>
      <c r="N820" s="261">
        <v>0</v>
      </c>
      <c r="O820" s="261">
        <v>0</v>
      </c>
      <c r="P820" s="263">
        <v>0</v>
      </c>
      <c r="Q820" s="261">
        <v>0</v>
      </c>
      <c r="R820" s="261">
        <f>7036.03+5005.19</f>
        <v>12041.22</v>
      </c>
      <c r="S820" s="261">
        <v>0</v>
      </c>
      <c r="T820" s="261">
        <v>0</v>
      </c>
      <c r="U820" s="239"/>
      <c r="V820" s="239"/>
      <c r="W820" s="186"/>
      <c r="X820" s="186"/>
      <c r="Y820" s="186"/>
    </row>
    <row r="821" spans="1:35" s="40" customFormat="1" ht="21.75" customHeight="1" x14ac:dyDescent="0.25">
      <c r="A821" s="259">
        <v>7</v>
      </c>
      <c r="B821" s="274" t="s">
        <v>139</v>
      </c>
      <c r="C821" s="75">
        <f t="shared" si="179"/>
        <v>8555482.6699999999</v>
      </c>
      <c r="D821" s="75">
        <f t="shared" si="180"/>
        <v>0</v>
      </c>
      <c r="E821" s="263">
        <v>0</v>
      </c>
      <c r="F821" s="261">
        <v>0</v>
      </c>
      <c r="G821" s="263">
        <v>0</v>
      </c>
      <c r="H821" s="263">
        <v>0</v>
      </c>
      <c r="I821" s="261">
        <v>0</v>
      </c>
      <c r="J821" s="262">
        <v>0</v>
      </c>
      <c r="K821" s="261">
        <v>0</v>
      </c>
      <c r="L821" s="261">
        <v>0</v>
      </c>
      <c r="M821" s="261">
        <v>0</v>
      </c>
      <c r="N821" s="261">
        <v>8555482.6699999999</v>
      </c>
      <c r="O821" s="261">
        <v>0</v>
      </c>
      <c r="P821" s="261">
        <v>0</v>
      </c>
      <c r="Q821" s="261">
        <v>0</v>
      </c>
      <c r="R821" s="261">
        <v>0</v>
      </c>
      <c r="S821" s="261">
        <v>0</v>
      </c>
      <c r="T821" s="261">
        <v>0</v>
      </c>
      <c r="U821" s="238"/>
      <c r="V821" s="238"/>
    </row>
    <row r="822" spans="1:35" s="40" customFormat="1" ht="21.75" customHeight="1" x14ac:dyDescent="0.25">
      <c r="A822" s="259">
        <v>8</v>
      </c>
      <c r="B822" s="274" t="s">
        <v>142</v>
      </c>
      <c r="C822" s="75">
        <f t="shared" si="179"/>
        <v>2275676.14</v>
      </c>
      <c r="D822" s="75">
        <f t="shared" si="180"/>
        <v>2227997</v>
      </c>
      <c r="E822" s="263">
        <v>0</v>
      </c>
      <c r="F822" s="263">
        <v>0</v>
      </c>
      <c r="G822" s="263">
        <v>2227997</v>
      </c>
      <c r="H822" s="263">
        <v>0</v>
      </c>
      <c r="I822" s="263">
        <v>0</v>
      </c>
      <c r="J822" s="262">
        <v>0</v>
      </c>
      <c r="K822" s="261">
        <v>0</v>
      </c>
      <c r="L822" s="261">
        <v>0</v>
      </c>
      <c r="M822" s="261">
        <v>0</v>
      </c>
      <c r="N822" s="261">
        <v>0</v>
      </c>
      <c r="O822" s="261">
        <v>0</v>
      </c>
      <c r="P822" s="263">
        <v>0</v>
      </c>
      <c r="Q822" s="261">
        <v>0</v>
      </c>
      <c r="R822" s="261">
        <v>47679.14</v>
      </c>
      <c r="S822" s="261">
        <v>0</v>
      </c>
      <c r="T822" s="261">
        <v>0</v>
      </c>
      <c r="U822" s="238"/>
      <c r="V822" s="238"/>
    </row>
    <row r="823" spans="1:35" s="40" customFormat="1" ht="21.75" customHeight="1" x14ac:dyDescent="0.25">
      <c r="A823" s="259">
        <v>9</v>
      </c>
      <c r="B823" s="280" t="s">
        <v>159</v>
      </c>
      <c r="C823" s="75">
        <f t="shared" si="179"/>
        <v>2016304.44</v>
      </c>
      <c r="D823" s="75">
        <f t="shared" si="180"/>
        <v>2016304.44</v>
      </c>
      <c r="E823" s="263">
        <v>0</v>
      </c>
      <c r="F823" s="263">
        <v>2016304.44</v>
      </c>
      <c r="G823" s="261">
        <v>0</v>
      </c>
      <c r="H823" s="263">
        <v>0</v>
      </c>
      <c r="I823" s="261">
        <v>0</v>
      </c>
      <c r="J823" s="262">
        <v>0</v>
      </c>
      <c r="K823" s="261">
        <v>0</v>
      </c>
      <c r="L823" s="261">
        <v>0</v>
      </c>
      <c r="M823" s="261">
        <v>0</v>
      </c>
      <c r="N823" s="261">
        <v>0</v>
      </c>
      <c r="O823" s="261">
        <v>0</v>
      </c>
      <c r="P823" s="263">
        <v>0</v>
      </c>
      <c r="Q823" s="261">
        <v>0</v>
      </c>
      <c r="R823" s="261">
        <v>0</v>
      </c>
      <c r="S823" s="261">
        <v>0</v>
      </c>
      <c r="T823" s="261">
        <v>0</v>
      </c>
      <c r="U823" s="238"/>
      <c r="V823" s="238"/>
    </row>
    <row r="824" spans="1:35" s="40" customFormat="1" ht="21.75" customHeight="1" x14ac:dyDescent="0.25">
      <c r="A824" s="259">
        <v>10</v>
      </c>
      <c r="B824" s="274" t="s">
        <v>171</v>
      </c>
      <c r="C824" s="75">
        <f t="shared" si="179"/>
        <v>13637732.800000001</v>
      </c>
      <c r="D824" s="75">
        <f t="shared" si="180"/>
        <v>0</v>
      </c>
      <c r="E824" s="263">
        <v>0</v>
      </c>
      <c r="F824" s="263">
        <v>0</v>
      </c>
      <c r="G824" s="263">
        <v>0</v>
      </c>
      <c r="H824" s="263">
        <v>0</v>
      </c>
      <c r="I824" s="261">
        <v>0</v>
      </c>
      <c r="J824" s="262">
        <v>0</v>
      </c>
      <c r="K824" s="261">
        <v>0</v>
      </c>
      <c r="L824" s="263">
        <v>0</v>
      </c>
      <c r="M824" s="261">
        <v>0</v>
      </c>
      <c r="N824" s="263">
        <v>13352000</v>
      </c>
      <c r="O824" s="261">
        <v>0</v>
      </c>
      <c r="P824" s="263">
        <v>0</v>
      </c>
      <c r="Q824" s="261">
        <v>0</v>
      </c>
      <c r="R824" s="261">
        <v>285732.8</v>
      </c>
      <c r="S824" s="261">
        <v>0</v>
      </c>
      <c r="T824" s="261">
        <v>0</v>
      </c>
      <c r="U824" s="239"/>
      <c r="V824" s="239"/>
    </row>
    <row r="825" spans="1:35" s="40" customFormat="1" ht="21.75" customHeight="1" x14ac:dyDescent="0.25">
      <c r="A825" s="259">
        <v>11</v>
      </c>
      <c r="B825" s="274" t="s">
        <v>1363</v>
      </c>
      <c r="C825" s="75">
        <f t="shared" si="179"/>
        <v>5389838.4000000004</v>
      </c>
      <c r="D825" s="75">
        <f t="shared" si="180"/>
        <v>4247789.7</v>
      </c>
      <c r="E825" s="263">
        <v>4247789.7</v>
      </c>
      <c r="F825" s="263">
        <v>0</v>
      </c>
      <c r="G825" s="263">
        <v>0</v>
      </c>
      <c r="H825" s="263">
        <v>0</v>
      </c>
      <c r="I825" s="263">
        <v>0</v>
      </c>
      <c r="J825" s="262">
        <v>0</v>
      </c>
      <c r="K825" s="261">
        <v>0</v>
      </c>
      <c r="L825" s="261">
        <v>0</v>
      </c>
      <c r="M825" s="261">
        <v>0</v>
      </c>
      <c r="N825" s="261">
        <v>0</v>
      </c>
      <c r="O825" s="261">
        <v>0</v>
      </c>
      <c r="P825" s="263">
        <f>350382+350382+350382</f>
        <v>1051146</v>
      </c>
      <c r="Q825" s="261">
        <v>0</v>
      </c>
      <c r="R825" s="261">
        <v>90902.7</v>
      </c>
      <c r="S825" s="261">
        <v>0</v>
      </c>
      <c r="T825" s="261">
        <v>0</v>
      </c>
      <c r="U825" s="238"/>
      <c r="V825" s="238"/>
    </row>
    <row r="826" spans="1:35" s="40" customFormat="1" ht="21.75" customHeight="1" x14ac:dyDescent="0.25">
      <c r="A826" s="259">
        <v>12</v>
      </c>
      <c r="B826" s="274" t="s">
        <v>192</v>
      </c>
      <c r="C826" s="75">
        <f t="shared" si="179"/>
        <v>1532603.71</v>
      </c>
      <c r="D826" s="75">
        <f t="shared" si="180"/>
        <v>1500493.16</v>
      </c>
      <c r="E826" s="263">
        <v>0</v>
      </c>
      <c r="F826" s="263">
        <v>1500493.16</v>
      </c>
      <c r="G826" s="261">
        <v>0</v>
      </c>
      <c r="H826" s="263">
        <v>0</v>
      </c>
      <c r="I826" s="263">
        <v>0</v>
      </c>
      <c r="J826" s="262">
        <v>0</v>
      </c>
      <c r="K826" s="261">
        <v>0</v>
      </c>
      <c r="L826" s="261">
        <v>0</v>
      </c>
      <c r="M826" s="261">
        <v>0</v>
      </c>
      <c r="N826" s="261">
        <v>0</v>
      </c>
      <c r="O826" s="261">
        <v>0</v>
      </c>
      <c r="P826" s="263">
        <v>0</v>
      </c>
      <c r="Q826" s="261">
        <v>0</v>
      </c>
      <c r="R826" s="261">
        <v>32110.55</v>
      </c>
      <c r="S826" s="261">
        <v>0</v>
      </c>
      <c r="T826" s="261">
        <v>0</v>
      </c>
      <c r="U826" s="238"/>
      <c r="V826" s="238"/>
    </row>
    <row r="827" spans="1:35" s="40" customFormat="1" ht="21.75" customHeight="1" x14ac:dyDescent="0.25">
      <c r="A827" s="259">
        <v>13</v>
      </c>
      <c r="B827" s="274" t="s">
        <v>612</v>
      </c>
      <c r="C827" s="75">
        <f t="shared" si="179"/>
        <v>5375431.0700000003</v>
      </c>
      <c r="D827" s="75">
        <f t="shared" si="180"/>
        <v>0</v>
      </c>
      <c r="E827" s="263">
        <v>0</v>
      </c>
      <c r="F827" s="261">
        <v>0</v>
      </c>
      <c r="G827" s="263">
        <v>0</v>
      </c>
      <c r="H827" s="263">
        <v>0</v>
      </c>
      <c r="I827" s="261">
        <v>0</v>
      </c>
      <c r="J827" s="262">
        <v>1</v>
      </c>
      <c r="K827" s="261">
        <v>5262807</v>
      </c>
      <c r="L827" s="261">
        <v>0</v>
      </c>
      <c r="M827" s="263">
        <v>0</v>
      </c>
      <c r="N827" s="263">
        <v>0</v>
      </c>
      <c r="O827" s="261">
        <v>0</v>
      </c>
      <c r="P827" s="261">
        <v>0</v>
      </c>
      <c r="Q827" s="261">
        <v>0</v>
      </c>
      <c r="R827" s="261">
        <v>112624.07</v>
      </c>
      <c r="S827" s="261">
        <v>0</v>
      </c>
      <c r="T827" s="261">
        <v>0</v>
      </c>
      <c r="U827" s="238"/>
      <c r="V827" s="238"/>
    </row>
    <row r="828" spans="1:35" s="40" customFormat="1" ht="21.75" customHeight="1" x14ac:dyDescent="0.25">
      <c r="A828" s="259">
        <v>14</v>
      </c>
      <c r="B828" s="274" t="s">
        <v>613</v>
      </c>
      <c r="C828" s="75">
        <f t="shared" si="179"/>
        <v>16126293.210000001</v>
      </c>
      <c r="D828" s="75">
        <f t="shared" si="180"/>
        <v>0</v>
      </c>
      <c r="E828" s="263">
        <v>0</v>
      </c>
      <c r="F828" s="261">
        <v>0</v>
      </c>
      <c r="G828" s="263">
        <v>0</v>
      </c>
      <c r="H828" s="263">
        <v>0</v>
      </c>
      <c r="I828" s="261">
        <v>0</v>
      </c>
      <c r="J828" s="262">
        <v>3</v>
      </c>
      <c r="K828" s="261">
        <v>15788421</v>
      </c>
      <c r="L828" s="261">
        <v>0</v>
      </c>
      <c r="M828" s="263">
        <v>0</v>
      </c>
      <c r="N828" s="263">
        <v>0</v>
      </c>
      <c r="O828" s="261">
        <v>0</v>
      </c>
      <c r="P828" s="261">
        <v>0</v>
      </c>
      <c r="Q828" s="261">
        <v>0</v>
      </c>
      <c r="R828" s="261">
        <v>337872.21</v>
      </c>
      <c r="S828" s="261">
        <v>0</v>
      </c>
      <c r="T828" s="261">
        <v>0</v>
      </c>
      <c r="U828" s="238"/>
      <c r="V828" s="238"/>
    </row>
    <row r="829" spans="1:35" s="40" customFormat="1" ht="21.75" customHeight="1" x14ac:dyDescent="0.25">
      <c r="A829" s="259">
        <v>15</v>
      </c>
      <c r="B829" s="274" t="s">
        <v>614</v>
      </c>
      <c r="C829" s="75">
        <f t="shared" si="179"/>
        <v>16126293.210000001</v>
      </c>
      <c r="D829" s="75">
        <f t="shared" si="180"/>
        <v>0</v>
      </c>
      <c r="E829" s="263">
        <v>0</v>
      </c>
      <c r="F829" s="261">
        <v>0</v>
      </c>
      <c r="G829" s="263">
        <v>0</v>
      </c>
      <c r="H829" s="263">
        <v>0</v>
      </c>
      <c r="I829" s="261">
        <v>0</v>
      </c>
      <c r="J829" s="262">
        <v>3</v>
      </c>
      <c r="K829" s="261">
        <v>15788421</v>
      </c>
      <c r="L829" s="261">
        <v>0</v>
      </c>
      <c r="M829" s="263">
        <v>0</v>
      </c>
      <c r="N829" s="263">
        <v>0</v>
      </c>
      <c r="O829" s="261">
        <v>0</v>
      </c>
      <c r="P829" s="261">
        <v>0</v>
      </c>
      <c r="Q829" s="261">
        <v>0</v>
      </c>
      <c r="R829" s="261">
        <v>337872.21</v>
      </c>
      <c r="S829" s="261">
        <v>0</v>
      </c>
      <c r="T829" s="261">
        <v>0</v>
      </c>
      <c r="U829" s="238"/>
      <c r="V829" s="238"/>
    </row>
    <row r="830" spans="1:35" s="40" customFormat="1" ht="21.75" customHeight="1" x14ac:dyDescent="0.25">
      <c r="A830" s="259">
        <v>16</v>
      </c>
      <c r="B830" s="274" t="s">
        <v>755</v>
      </c>
      <c r="C830" s="75">
        <f t="shared" si="179"/>
        <v>27467643.969999999</v>
      </c>
      <c r="D830" s="75">
        <f t="shared" si="180"/>
        <v>0</v>
      </c>
      <c r="E830" s="263">
        <v>0</v>
      </c>
      <c r="F830" s="261">
        <v>0</v>
      </c>
      <c r="G830" s="261">
        <v>0</v>
      </c>
      <c r="H830" s="263">
        <v>0</v>
      </c>
      <c r="I830" s="261">
        <v>0</v>
      </c>
      <c r="J830" s="262">
        <v>0</v>
      </c>
      <c r="K830" s="261">
        <v>0</v>
      </c>
      <c r="L830" s="263">
        <v>6053561.0700000003</v>
      </c>
      <c r="M830" s="261">
        <v>0</v>
      </c>
      <c r="N830" s="263">
        <v>21414082.899999999</v>
      </c>
      <c r="O830" s="261">
        <v>0</v>
      </c>
      <c r="P830" s="261">
        <v>0</v>
      </c>
      <c r="Q830" s="261">
        <v>0</v>
      </c>
      <c r="R830" s="261">
        <v>0</v>
      </c>
      <c r="S830" s="261">
        <v>0</v>
      </c>
      <c r="T830" s="261">
        <v>0</v>
      </c>
      <c r="U830" s="239"/>
      <c r="V830" s="239"/>
    </row>
    <row r="831" spans="1:35" s="40" customFormat="1" ht="21.75" customHeight="1" x14ac:dyDescent="0.25">
      <c r="A831" s="259">
        <v>17</v>
      </c>
      <c r="B831" s="281" t="s">
        <v>621</v>
      </c>
      <c r="C831" s="75">
        <f t="shared" si="179"/>
        <v>4189769.81</v>
      </c>
      <c r="D831" s="75">
        <f t="shared" si="180"/>
        <v>1442687.55</v>
      </c>
      <c r="E831" s="263">
        <v>0</v>
      </c>
      <c r="F831" s="261">
        <v>1442687.55</v>
      </c>
      <c r="G831" s="261">
        <v>0</v>
      </c>
      <c r="H831" s="263">
        <v>0</v>
      </c>
      <c r="I831" s="261">
        <v>0</v>
      </c>
      <c r="J831" s="262">
        <v>0</v>
      </c>
      <c r="K831" s="261">
        <v>0</v>
      </c>
      <c r="L831" s="261">
        <v>2689526.4</v>
      </c>
      <c r="M831" s="261">
        <v>0</v>
      </c>
      <c r="N831" s="261">
        <v>0</v>
      </c>
      <c r="O831" s="261">
        <v>0</v>
      </c>
      <c r="P831" s="261">
        <v>0</v>
      </c>
      <c r="Q831" s="261">
        <v>0</v>
      </c>
      <c r="R831" s="261">
        <f>57555.86</f>
        <v>57555.86</v>
      </c>
      <c r="S831" s="261">
        <v>0</v>
      </c>
      <c r="T831" s="261">
        <v>0</v>
      </c>
      <c r="U831" s="239"/>
      <c r="V831" s="239"/>
    </row>
    <row r="832" spans="1:35" s="40" customFormat="1" ht="21.75" customHeight="1" x14ac:dyDescent="0.25">
      <c r="A832" s="259">
        <v>18</v>
      </c>
      <c r="B832" s="274" t="s">
        <v>224</v>
      </c>
      <c r="C832" s="75">
        <f t="shared" si="179"/>
        <v>792233.59</v>
      </c>
      <c r="D832" s="75">
        <f t="shared" si="180"/>
        <v>775635</v>
      </c>
      <c r="E832" s="263">
        <v>0</v>
      </c>
      <c r="F832" s="263">
        <v>775635</v>
      </c>
      <c r="G832" s="263">
        <v>0</v>
      </c>
      <c r="H832" s="263">
        <v>0</v>
      </c>
      <c r="I832" s="263">
        <v>0</v>
      </c>
      <c r="J832" s="262">
        <v>0</v>
      </c>
      <c r="K832" s="261">
        <v>0</v>
      </c>
      <c r="L832" s="261">
        <v>0</v>
      </c>
      <c r="M832" s="261">
        <v>0</v>
      </c>
      <c r="N832" s="261">
        <v>0</v>
      </c>
      <c r="O832" s="261">
        <v>0</v>
      </c>
      <c r="P832" s="263">
        <v>0</v>
      </c>
      <c r="Q832" s="261">
        <v>0</v>
      </c>
      <c r="R832" s="261">
        <v>16598.59</v>
      </c>
      <c r="S832" s="261">
        <v>0</v>
      </c>
      <c r="T832" s="261">
        <v>0</v>
      </c>
      <c r="U832" s="239"/>
      <c r="V832" s="239"/>
      <c r="W832" s="186"/>
      <c r="X832" s="186"/>
      <c r="Y832" s="186"/>
      <c r="Z832" s="186"/>
      <c r="AA832" s="186"/>
      <c r="AB832" s="186"/>
      <c r="AC832" s="186"/>
      <c r="AD832" s="186"/>
      <c r="AE832" s="186"/>
      <c r="AF832" s="186"/>
      <c r="AG832" s="186"/>
      <c r="AH832" s="186"/>
      <c r="AI832" s="186"/>
    </row>
    <row r="833" spans="1:39" s="40" customFormat="1" ht="21.75" customHeight="1" x14ac:dyDescent="0.25">
      <c r="A833" s="259">
        <v>19</v>
      </c>
      <c r="B833" s="274" t="s">
        <v>229</v>
      </c>
      <c r="C833" s="75">
        <f t="shared" si="179"/>
        <v>6704510.4400000004</v>
      </c>
      <c r="D833" s="75">
        <f t="shared" si="180"/>
        <v>0</v>
      </c>
      <c r="E833" s="263">
        <v>0</v>
      </c>
      <c r="F833" s="261">
        <v>0</v>
      </c>
      <c r="G833" s="261">
        <v>0</v>
      </c>
      <c r="H833" s="263">
        <v>0</v>
      </c>
      <c r="I833" s="261">
        <v>0</v>
      </c>
      <c r="J833" s="262">
        <v>0</v>
      </c>
      <c r="K833" s="261">
        <v>0</v>
      </c>
      <c r="L833" s="263">
        <v>6704510.4400000004</v>
      </c>
      <c r="M833" s="261">
        <v>0</v>
      </c>
      <c r="N833" s="263">
        <v>0</v>
      </c>
      <c r="O833" s="261">
        <v>0</v>
      </c>
      <c r="P833" s="261">
        <v>0</v>
      </c>
      <c r="Q833" s="261">
        <v>0</v>
      </c>
      <c r="R833" s="261">
        <v>0</v>
      </c>
      <c r="S833" s="261">
        <v>0</v>
      </c>
      <c r="T833" s="261">
        <v>0</v>
      </c>
      <c r="U833" s="239"/>
      <c r="V833" s="239"/>
    </row>
    <row r="834" spans="1:39" s="40" customFormat="1" ht="21.75" customHeight="1" x14ac:dyDescent="0.25">
      <c r="A834" s="259">
        <v>20</v>
      </c>
      <c r="B834" s="274" t="s">
        <v>236</v>
      </c>
      <c r="C834" s="75">
        <f t="shared" si="179"/>
        <v>1145623.18</v>
      </c>
      <c r="D834" s="75">
        <f t="shared" si="180"/>
        <v>1121620.5</v>
      </c>
      <c r="E834" s="263">
        <v>0</v>
      </c>
      <c r="F834" s="261">
        <v>1121620.5</v>
      </c>
      <c r="G834" s="261">
        <v>0</v>
      </c>
      <c r="H834" s="263">
        <v>0</v>
      </c>
      <c r="I834" s="263">
        <v>0</v>
      </c>
      <c r="J834" s="262">
        <v>0</v>
      </c>
      <c r="K834" s="261">
        <v>0</v>
      </c>
      <c r="L834" s="261">
        <v>0</v>
      </c>
      <c r="M834" s="261">
        <v>0</v>
      </c>
      <c r="N834" s="261">
        <v>0</v>
      </c>
      <c r="O834" s="261">
        <v>0</v>
      </c>
      <c r="P834" s="263">
        <v>0</v>
      </c>
      <c r="Q834" s="261">
        <v>0</v>
      </c>
      <c r="R834" s="261">
        <v>24002.68</v>
      </c>
      <c r="S834" s="261">
        <v>0</v>
      </c>
      <c r="T834" s="261">
        <v>0</v>
      </c>
      <c r="U834" s="238"/>
      <c r="V834" s="238"/>
    </row>
    <row r="835" spans="1:39" s="40" customFormat="1" ht="21.75" customHeight="1" x14ac:dyDescent="0.25">
      <c r="A835" s="259">
        <v>21</v>
      </c>
      <c r="B835" s="274" t="s">
        <v>237</v>
      </c>
      <c r="C835" s="75">
        <f t="shared" si="179"/>
        <v>2471170.46</v>
      </c>
      <c r="D835" s="75">
        <f t="shared" si="180"/>
        <v>2419395.4</v>
      </c>
      <c r="E835" s="263">
        <v>0</v>
      </c>
      <c r="F835" s="263">
        <v>0</v>
      </c>
      <c r="G835" s="263">
        <v>2419395.4</v>
      </c>
      <c r="H835" s="263">
        <v>0</v>
      </c>
      <c r="I835" s="263">
        <v>0</v>
      </c>
      <c r="J835" s="262">
        <v>0</v>
      </c>
      <c r="K835" s="261">
        <v>0</v>
      </c>
      <c r="L835" s="261">
        <v>0</v>
      </c>
      <c r="M835" s="261">
        <v>0</v>
      </c>
      <c r="N835" s="261">
        <v>0</v>
      </c>
      <c r="O835" s="261">
        <v>0</v>
      </c>
      <c r="P835" s="263">
        <v>0</v>
      </c>
      <c r="Q835" s="261">
        <v>0</v>
      </c>
      <c r="R835" s="261">
        <v>51775.06</v>
      </c>
      <c r="S835" s="261">
        <v>0</v>
      </c>
      <c r="T835" s="261">
        <v>0</v>
      </c>
      <c r="U835" s="239"/>
      <c r="V835" s="239"/>
      <c r="W835" s="186"/>
      <c r="X835" s="186"/>
      <c r="Y835" s="186"/>
      <c r="Z835" s="186"/>
      <c r="AA835" s="186"/>
      <c r="AB835" s="186"/>
      <c r="AC835" s="186"/>
      <c r="AD835" s="186"/>
      <c r="AE835" s="186"/>
      <c r="AF835" s="186"/>
      <c r="AG835" s="186"/>
      <c r="AH835" s="186"/>
      <c r="AI835" s="186"/>
    </row>
    <row r="836" spans="1:39" s="40" customFormat="1" ht="21.75" customHeight="1" x14ac:dyDescent="0.25">
      <c r="A836" s="259">
        <v>22</v>
      </c>
      <c r="B836" s="274" t="s">
        <v>1364</v>
      </c>
      <c r="C836" s="75">
        <f t="shared" si="179"/>
        <v>2748308.05</v>
      </c>
      <c r="D836" s="75">
        <f t="shared" si="180"/>
        <v>2419395.4</v>
      </c>
      <c r="E836" s="263">
        <v>0</v>
      </c>
      <c r="F836" s="263">
        <v>0</v>
      </c>
      <c r="G836" s="263">
        <v>2419395.4</v>
      </c>
      <c r="H836" s="263">
        <v>0</v>
      </c>
      <c r="I836" s="263">
        <v>0</v>
      </c>
      <c r="J836" s="262">
        <v>0</v>
      </c>
      <c r="K836" s="261">
        <v>0</v>
      </c>
      <c r="L836" s="261">
        <v>0</v>
      </c>
      <c r="M836" s="261">
        <v>0</v>
      </c>
      <c r="N836" s="261">
        <v>0</v>
      </c>
      <c r="O836" s="261">
        <v>0</v>
      </c>
      <c r="P836" s="263">
        <v>277137.59000000003</v>
      </c>
      <c r="Q836" s="261">
        <v>0</v>
      </c>
      <c r="R836" s="261">
        <v>51775.06</v>
      </c>
      <c r="S836" s="261">
        <v>0</v>
      </c>
      <c r="T836" s="261">
        <v>0</v>
      </c>
      <c r="U836" s="239"/>
      <c r="V836" s="239"/>
    </row>
    <row r="837" spans="1:39" s="40" customFormat="1" ht="21.75" customHeight="1" x14ac:dyDescent="0.25">
      <c r="A837" s="259">
        <v>23</v>
      </c>
      <c r="B837" s="274" t="s">
        <v>626</v>
      </c>
      <c r="C837" s="75">
        <f t="shared" si="179"/>
        <v>3139775.37</v>
      </c>
      <c r="D837" s="75">
        <f t="shared" si="180"/>
        <v>0</v>
      </c>
      <c r="E837" s="263">
        <v>0</v>
      </c>
      <c r="F837" s="263">
        <v>0</v>
      </c>
      <c r="G837" s="261">
        <v>0</v>
      </c>
      <c r="H837" s="263">
        <v>0</v>
      </c>
      <c r="I837" s="261">
        <v>0</v>
      </c>
      <c r="J837" s="262">
        <v>0</v>
      </c>
      <c r="K837" s="261">
        <v>0</v>
      </c>
      <c r="L837" s="263">
        <v>3073993.2</v>
      </c>
      <c r="M837" s="261">
        <v>0</v>
      </c>
      <c r="N837" s="261">
        <v>0</v>
      </c>
      <c r="O837" s="261">
        <v>0</v>
      </c>
      <c r="P837" s="263">
        <v>0</v>
      </c>
      <c r="Q837" s="261">
        <v>0</v>
      </c>
      <c r="R837" s="261">
        <v>65782.17</v>
      </c>
      <c r="S837" s="261">
        <v>0</v>
      </c>
      <c r="T837" s="261">
        <v>0</v>
      </c>
      <c r="U837" s="238"/>
      <c r="V837" s="238"/>
      <c r="W837" s="186"/>
      <c r="X837" s="186"/>
      <c r="Y837" s="186"/>
      <c r="Z837" s="186"/>
      <c r="AA837" s="186"/>
      <c r="AB837" s="186"/>
      <c r="AC837" s="186"/>
      <c r="AD837" s="186"/>
      <c r="AE837" s="186"/>
      <c r="AF837" s="186"/>
      <c r="AG837" s="186"/>
      <c r="AH837" s="186"/>
      <c r="AI837" s="186"/>
    </row>
    <row r="838" spans="1:39" s="40" customFormat="1" ht="21.75" customHeight="1" x14ac:dyDescent="0.25">
      <c r="A838" s="259">
        <v>24</v>
      </c>
      <c r="B838" s="274" t="s">
        <v>1365</v>
      </c>
      <c r="C838" s="75">
        <f t="shared" si="179"/>
        <v>14044891.840000002</v>
      </c>
      <c r="D838" s="75">
        <f t="shared" si="180"/>
        <v>13559568.100000001</v>
      </c>
      <c r="E838" s="263">
        <v>6305688.9000000004</v>
      </c>
      <c r="F838" s="263">
        <v>7253879.2000000002</v>
      </c>
      <c r="G838" s="263">
        <v>0</v>
      </c>
      <c r="H838" s="263">
        <v>0</v>
      </c>
      <c r="I838" s="263">
        <v>0</v>
      </c>
      <c r="J838" s="262">
        <v>0</v>
      </c>
      <c r="K838" s="261">
        <v>0</v>
      </c>
      <c r="L838" s="261">
        <v>0</v>
      </c>
      <c r="M838" s="261">
        <v>0</v>
      </c>
      <c r="N838" s="261">
        <v>0</v>
      </c>
      <c r="O838" s="261">
        <v>0</v>
      </c>
      <c r="P838" s="263">
        <v>350382</v>
      </c>
      <c r="Q838" s="261">
        <v>0</v>
      </c>
      <c r="R838" s="261">
        <v>134941.74</v>
      </c>
      <c r="S838" s="261">
        <v>0</v>
      </c>
      <c r="T838" s="261">
        <v>0</v>
      </c>
      <c r="U838" s="238"/>
      <c r="V838" s="238"/>
      <c r="W838" s="44"/>
      <c r="X838" s="44"/>
      <c r="Y838" s="44"/>
      <c r="Z838" s="44"/>
      <c r="AA838" s="44"/>
      <c r="AB838" s="44"/>
      <c r="AC838" s="44"/>
      <c r="AD838" s="44"/>
      <c r="AE838" s="44"/>
      <c r="AF838" s="44"/>
      <c r="AG838" s="44"/>
      <c r="AH838" s="44"/>
      <c r="AI838" s="44"/>
    </row>
    <row r="839" spans="1:39" s="40" customFormat="1" ht="21.75" customHeight="1" x14ac:dyDescent="0.25">
      <c r="A839" s="259">
        <v>25</v>
      </c>
      <c r="B839" s="274" t="s">
        <v>282</v>
      </c>
      <c r="C839" s="75">
        <f t="shared" si="179"/>
        <v>18031380.669999998</v>
      </c>
      <c r="D839" s="75">
        <f t="shared" si="180"/>
        <v>0</v>
      </c>
      <c r="E839" s="263">
        <v>0</v>
      </c>
      <c r="F839" s="261">
        <v>0</v>
      </c>
      <c r="G839" s="261">
        <v>0</v>
      </c>
      <c r="H839" s="263">
        <v>0</v>
      </c>
      <c r="I839" s="261">
        <v>0</v>
      </c>
      <c r="J839" s="262">
        <v>0</v>
      </c>
      <c r="K839" s="261">
        <v>0</v>
      </c>
      <c r="L839" s="261">
        <v>0</v>
      </c>
      <c r="M839" s="261">
        <v>0</v>
      </c>
      <c r="N839" s="263">
        <v>17751498.599999998</v>
      </c>
      <c r="O839" s="261">
        <v>0</v>
      </c>
      <c r="P839" s="261">
        <v>0</v>
      </c>
      <c r="Q839" s="261">
        <v>0</v>
      </c>
      <c r="R839" s="261">
        <v>279882.07</v>
      </c>
      <c r="S839" s="261">
        <v>0</v>
      </c>
      <c r="T839" s="261">
        <v>0</v>
      </c>
      <c r="U839" s="238"/>
      <c r="V839" s="238"/>
    </row>
    <row r="840" spans="1:39" s="40" customFormat="1" ht="21.75" customHeight="1" x14ac:dyDescent="0.25">
      <c r="A840" s="259">
        <v>26</v>
      </c>
      <c r="B840" s="280" t="s">
        <v>290</v>
      </c>
      <c r="C840" s="75">
        <f t="shared" si="179"/>
        <v>785260.74999999988</v>
      </c>
      <c r="D840" s="75">
        <f t="shared" si="180"/>
        <v>768808.24999999988</v>
      </c>
      <c r="E840" s="263">
        <v>0</v>
      </c>
      <c r="F840" s="263">
        <v>768808.24999999988</v>
      </c>
      <c r="G840" s="263">
        <v>0</v>
      </c>
      <c r="H840" s="263">
        <v>0</v>
      </c>
      <c r="I840" s="263">
        <v>0</v>
      </c>
      <c r="J840" s="262">
        <v>0</v>
      </c>
      <c r="K840" s="261">
        <v>0</v>
      </c>
      <c r="L840" s="261">
        <v>0</v>
      </c>
      <c r="M840" s="261">
        <v>0</v>
      </c>
      <c r="N840" s="261">
        <v>0</v>
      </c>
      <c r="O840" s="261">
        <v>0</v>
      </c>
      <c r="P840" s="263">
        <v>0</v>
      </c>
      <c r="Q840" s="261">
        <v>0</v>
      </c>
      <c r="R840" s="261">
        <v>16452.5</v>
      </c>
      <c r="S840" s="261">
        <v>0</v>
      </c>
      <c r="T840" s="261">
        <v>0</v>
      </c>
      <c r="U840" s="238"/>
      <c r="V840" s="238"/>
      <c r="W840" s="44"/>
      <c r="X840" s="44"/>
      <c r="Y840" s="44"/>
      <c r="Z840" s="44"/>
      <c r="AA840" s="44"/>
      <c r="AB840" s="44"/>
      <c r="AC840" s="44"/>
      <c r="AD840" s="44"/>
      <c r="AE840" s="44"/>
      <c r="AF840" s="44"/>
      <c r="AG840" s="44"/>
      <c r="AH840" s="44"/>
      <c r="AI840" s="44"/>
      <c r="AJ840" s="44"/>
      <c r="AK840" s="44"/>
      <c r="AL840" s="44"/>
      <c r="AM840" s="44"/>
    </row>
    <row r="841" spans="1:39" s="40" customFormat="1" ht="21.75" customHeight="1" x14ac:dyDescent="0.25">
      <c r="A841" s="259">
        <v>27</v>
      </c>
      <c r="B841" s="274" t="s">
        <v>293</v>
      </c>
      <c r="C841" s="75">
        <f t="shared" si="179"/>
        <v>27115378.410000004</v>
      </c>
      <c r="D841" s="75">
        <f t="shared" si="180"/>
        <v>0</v>
      </c>
      <c r="E841" s="263">
        <v>0</v>
      </c>
      <c r="F841" s="261">
        <v>0</v>
      </c>
      <c r="G841" s="261">
        <v>0</v>
      </c>
      <c r="H841" s="263">
        <v>0</v>
      </c>
      <c r="I841" s="261">
        <v>0</v>
      </c>
      <c r="J841" s="262">
        <v>0</v>
      </c>
      <c r="K841" s="261">
        <v>0</v>
      </c>
      <c r="L841" s="263">
        <v>26547266.900000002</v>
      </c>
      <c r="M841" s="261">
        <v>0</v>
      </c>
      <c r="N841" s="261">
        <v>0</v>
      </c>
      <c r="O841" s="261">
        <v>0</v>
      </c>
      <c r="P841" s="263">
        <v>0</v>
      </c>
      <c r="Q841" s="261">
        <v>0</v>
      </c>
      <c r="R841" s="261">
        <v>568111.51</v>
      </c>
      <c r="S841" s="261">
        <v>0</v>
      </c>
      <c r="T841" s="261">
        <v>0</v>
      </c>
      <c r="U841" s="238"/>
      <c r="V841" s="238"/>
    </row>
    <row r="842" spans="1:39" s="40" customFormat="1" ht="21.75" customHeight="1" x14ac:dyDescent="0.25">
      <c r="A842" s="259">
        <v>28</v>
      </c>
      <c r="B842" s="274" t="s">
        <v>297</v>
      </c>
      <c r="C842" s="75">
        <f t="shared" si="179"/>
        <v>7068112.9700000007</v>
      </c>
      <c r="D842" s="75">
        <f t="shared" si="180"/>
        <v>0</v>
      </c>
      <c r="E842" s="263">
        <v>0</v>
      </c>
      <c r="F842" s="263">
        <v>0</v>
      </c>
      <c r="G842" s="261">
        <v>0</v>
      </c>
      <c r="H842" s="263">
        <v>0</v>
      </c>
      <c r="I842" s="261">
        <v>0</v>
      </c>
      <c r="J842" s="262">
        <v>0</v>
      </c>
      <c r="K842" s="261">
        <v>0</v>
      </c>
      <c r="L842" s="261">
        <v>0</v>
      </c>
      <c r="M842" s="261">
        <v>0</v>
      </c>
      <c r="N842" s="263">
        <v>6904130.4400000004</v>
      </c>
      <c r="O842" s="261">
        <v>0</v>
      </c>
      <c r="P842" s="263">
        <v>0</v>
      </c>
      <c r="Q842" s="261">
        <v>0</v>
      </c>
      <c r="R842" s="261">
        <f>163982.53</f>
        <v>163982.53</v>
      </c>
      <c r="S842" s="261">
        <v>0</v>
      </c>
      <c r="T842" s="261">
        <v>0</v>
      </c>
      <c r="U842" s="238"/>
      <c r="V842" s="238"/>
    </row>
    <row r="843" spans="1:39" s="40" customFormat="1" ht="21.75" customHeight="1" x14ac:dyDescent="0.25">
      <c r="A843" s="259">
        <v>29</v>
      </c>
      <c r="B843" s="274" t="s">
        <v>303</v>
      </c>
      <c r="C843" s="75">
        <f t="shared" si="179"/>
        <v>6317955</v>
      </c>
      <c r="D843" s="75">
        <f t="shared" si="180"/>
        <v>0</v>
      </c>
      <c r="E843" s="263">
        <v>0</v>
      </c>
      <c r="F843" s="263">
        <v>0</v>
      </c>
      <c r="G843" s="263">
        <v>0</v>
      </c>
      <c r="H843" s="263">
        <v>0</v>
      </c>
      <c r="I843" s="263">
        <v>0</v>
      </c>
      <c r="J843" s="262">
        <v>0</v>
      </c>
      <c r="K843" s="261">
        <v>0</v>
      </c>
      <c r="L843" s="261">
        <v>0</v>
      </c>
      <c r="M843" s="263">
        <v>0</v>
      </c>
      <c r="N843" s="263">
        <v>6317955</v>
      </c>
      <c r="O843" s="261">
        <v>0</v>
      </c>
      <c r="P843" s="263">
        <v>0</v>
      </c>
      <c r="Q843" s="261">
        <v>0</v>
      </c>
      <c r="R843" s="261">
        <v>0</v>
      </c>
      <c r="S843" s="261">
        <v>0</v>
      </c>
      <c r="T843" s="261">
        <v>0</v>
      </c>
      <c r="U843" s="238"/>
      <c r="V843" s="238"/>
    </row>
    <row r="844" spans="1:39" s="40" customFormat="1" ht="21.75" customHeight="1" x14ac:dyDescent="0.25">
      <c r="A844" s="347" t="s">
        <v>309</v>
      </c>
      <c r="B844" s="347"/>
      <c r="C844" s="118">
        <f t="shared" ref="C844:T844" si="181">C845</f>
        <v>365117.1</v>
      </c>
      <c r="D844" s="118">
        <f t="shared" si="181"/>
        <v>365117.1</v>
      </c>
      <c r="E844" s="118">
        <f t="shared" si="181"/>
        <v>0</v>
      </c>
      <c r="F844" s="118">
        <f t="shared" si="181"/>
        <v>0</v>
      </c>
      <c r="G844" s="118">
        <f t="shared" si="181"/>
        <v>0</v>
      </c>
      <c r="H844" s="118">
        <f t="shared" si="181"/>
        <v>0</v>
      </c>
      <c r="I844" s="118">
        <f t="shared" si="181"/>
        <v>365117.1</v>
      </c>
      <c r="J844" s="119">
        <f t="shared" si="181"/>
        <v>0</v>
      </c>
      <c r="K844" s="118">
        <f t="shared" si="181"/>
        <v>0</v>
      </c>
      <c r="L844" s="118">
        <f t="shared" si="181"/>
        <v>0</v>
      </c>
      <c r="M844" s="118">
        <f t="shared" si="181"/>
        <v>0</v>
      </c>
      <c r="N844" s="118">
        <f t="shared" si="181"/>
        <v>0</v>
      </c>
      <c r="O844" s="118">
        <f t="shared" si="181"/>
        <v>0</v>
      </c>
      <c r="P844" s="118">
        <f t="shared" si="181"/>
        <v>0</v>
      </c>
      <c r="Q844" s="118">
        <f t="shared" si="181"/>
        <v>0</v>
      </c>
      <c r="R844" s="118">
        <f t="shared" si="181"/>
        <v>0</v>
      </c>
      <c r="S844" s="118">
        <f t="shared" si="181"/>
        <v>0</v>
      </c>
      <c r="T844" s="118">
        <f t="shared" si="181"/>
        <v>0</v>
      </c>
      <c r="U844" s="238"/>
      <c r="V844" s="238"/>
    </row>
    <row r="845" spans="1:39" s="40" customFormat="1" ht="21.75" customHeight="1" x14ac:dyDescent="0.25">
      <c r="A845" s="259">
        <v>1</v>
      </c>
      <c r="B845" s="260" t="s">
        <v>757</v>
      </c>
      <c r="C845" s="75">
        <f>D845+K845+L845+M845+N845+O845+P845+Q845+R845+S845+T845</f>
        <v>365117.1</v>
      </c>
      <c r="D845" s="75">
        <f>SUM(E845:I845)</f>
        <v>365117.1</v>
      </c>
      <c r="E845" s="75">
        <v>0</v>
      </c>
      <c r="F845" s="75">
        <v>0</v>
      </c>
      <c r="G845" s="75">
        <v>0</v>
      </c>
      <c r="H845" s="75">
        <v>0</v>
      </c>
      <c r="I845" s="75">
        <v>365117.1</v>
      </c>
      <c r="J845" s="152">
        <v>0</v>
      </c>
      <c r="K845" s="75">
        <v>0</v>
      </c>
      <c r="L845" s="75">
        <v>0</v>
      </c>
      <c r="M845" s="75">
        <v>0</v>
      </c>
      <c r="N845" s="75">
        <v>0</v>
      </c>
      <c r="O845" s="75">
        <v>0</v>
      </c>
      <c r="P845" s="75">
        <v>0</v>
      </c>
      <c r="Q845" s="75">
        <v>0</v>
      </c>
      <c r="R845" s="75">
        <v>0</v>
      </c>
      <c r="S845" s="75">
        <v>0</v>
      </c>
      <c r="T845" s="75">
        <v>0</v>
      </c>
      <c r="U845" s="238"/>
      <c r="V845" s="238"/>
      <c r="W845" s="44"/>
      <c r="X845" s="44"/>
      <c r="Y845" s="44"/>
      <c r="Z845" s="44"/>
      <c r="AA845" s="44"/>
      <c r="AB845" s="44"/>
      <c r="AC845" s="44"/>
      <c r="AD845" s="44"/>
      <c r="AE845" s="44"/>
      <c r="AF845" s="44"/>
      <c r="AG845" s="44"/>
      <c r="AH845" s="44"/>
      <c r="AI845" s="44"/>
      <c r="AJ845" s="44"/>
      <c r="AK845" s="44"/>
      <c r="AL845" s="44"/>
      <c r="AM845" s="44"/>
    </row>
    <row r="846" spans="1:39" s="186" customFormat="1" ht="21.75" customHeight="1" x14ac:dyDescent="0.25">
      <c r="A846" s="322" t="s">
        <v>318</v>
      </c>
      <c r="B846" s="322"/>
      <c r="C846" s="118">
        <f t="shared" ref="C846:T846" si="182">C847</f>
        <v>14015314.959999999</v>
      </c>
      <c r="D846" s="118">
        <f t="shared" si="182"/>
        <v>0</v>
      </c>
      <c r="E846" s="118">
        <f t="shared" si="182"/>
        <v>0</v>
      </c>
      <c r="F846" s="118">
        <f t="shared" si="182"/>
        <v>0</v>
      </c>
      <c r="G846" s="118">
        <f t="shared" si="182"/>
        <v>0</v>
      </c>
      <c r="H846" s="118">
        <f t="shared" si="182"/>
        <v>0</v>
      </c>
      <c r="I846" s="118">
        <f t="shared" si="182"/>
        <v>0</v>
      </c>
      <c r="J846" s="119">
        <f t="shared" si="182"/>
        <v>0</v>
      </c>
      <c r="K846" s="118">
        <f t="shared" si="182"/>
        <v>0</v>
      </c>
      <c r="L846" s="118">
        <f t="shared" si="182"/>
        <v>13721671.199999999</v>
      </c>
      <c r="M846" s="118">
        <f t="shared" si="182"/>
        <v>0</v>
      </c>
      <c r="N846" s="118">
        <f t="shared" si="182"/>
        <v>0</v>
      </c>
      <c r="O846" s="118">
        <f t="shared" si="182"/>
        <v>0</v>
      </c>
      <c r="P846" s="118">
        <f t="shared" si="182"/>
        <v>0</v>
      </c>
      <c r="Q846" s="118">
        <f t="shared" si="182"/>
        <v>0</v>
      </c>
      <c r="R846" s="118">
        <f t="shared" si="182"/>
        <v>293643.76</v>
      </c>
      <c r="S846" s="118">
        <f t="shared" si="182"/>
        <v>0</v>
      </c>
      <c r="T846" s="118">
        <f t="shared" si="182"/>
        <v>0</v>
      </c>
      <c r="U846" s="252"/>
      <c r="V846" s="252"/>
    </row>
    <row r="847" spans="1:39" s="186" customFormat="1" ht="21.75" customHeight="1" x14ac:dyDescent="0.25">
      <c r="A847" s="25">
        <v>1</v>
      </c>
      <c r="B847" s="37" t="s">
        <v>646</v>
      </c>
      <c r="C847" s="75">
        <f>D847+K847+L847+M847+N847+O847+P847+Q847+R847+S847+T847</f>
        <v>14015314.959999999</v>
      </c>
      <c r="D847" s="75">
        <f>SUM(E847:I847)</f>
        <v>0</v>
      </c>
      <c r="E847" s="75">
        <v>0</v>
      </c>
      <c r="F847" s="75">
        <v>0</v>
      </c>
      <c r="G847" s="75">
        <v>0</v>
      </c>
      <c r="H847" s="75">
        <v>0</v>
      </c>
      <c r="I847" s="75">
        <v>0</v>
      </c>
      <c r="J847" s="152">
        <v>0</v>
      </c>
      <c r="K847" s="75">
        <v>0</v>
      </c>
      <c r="L847" s="75">
        <v>13721671.199999999</v>
      </c>
      <c r="M847" s="75">
        <v>0</v>
      </c>
      <c r="N847" s="75">
        <v>0</v>
      </c>
      <c r="O847" s="75">
        <v>0</v>
      </c>
      <c r="P847" s="75">
        <v>0</v>
      </c>
      <c r="Q847" s="75">
        <v>0</v>
      </c>
      <c r="R847" s="75">
        <v>293643.76</v>
      </c>
      <c r="S847" s="75">
        <v>0</v>
      </c>
      <c r="T847" s="75">
        <v>0</v>
      </c>
      <c r="U847" s="253"/>
      <c r="V847" s="253"/>
      <c r="W847" s="275"/>
      <c r="X847" s="275"/>
      <c r="Y847" s="275"/>
      <c r="Z847" s="275"/>
      <c r="AA847" s="275"/>
      <c r="AB847" s="275"/>
      <c r="AC847" s="275"/>
      <c r="AD847" s="275"/>
      <c r="AE847" s="275"/>
      <c r="AF847" s="275"/>
      <c r="AG847" s="275"/>
      <c r="AH847" s="275"/>
      <c r="AI847" s="275"/>
      <c r="AJ847" s="275"/>
      <c r="AK847" s="275"/>
      <c r="AL847" s="275"/>
      <c r="AM847" s="275"/>
    </row>
    <row r="848" spans="1:39" s="186" customFormat="1" ht="21.75" customHeight="1" x14ac:dyDescent="0.25">
      <c r="A848" s="322" t="s">
        <v>327</v>
      </c>
      <c r="B848" s="322"/>
      <c r="C848" s="118">
        <f t="shared" ref="C848:T848" si="183">SUM(C849:C864)</f>
        <v>58316525.04999999</v>
      </c>
      <c r="D848" s="118">
        <f t="shared" si="183"/>
        <v>25341674.43</v>
      </c>
      <c r="E848" s="118">
        <f t="shared" si="183"/>
        <v>0</v>
      </c>
      <c r="F848" s="118">
        <f t="shared" si="183"/>
        <v>18534879.200000003</v>
      </c>
      <c r="G848" s="118">
        <f t="shared" si="183"/>
        <v>820366.14</v>
      </c>
      <c r="H848" s="118">
        <f t="shared" si="183"/>
        <v>2705946.68</v>
      </c>
      <c r="I848" s="118">
        <f t="shared" si="183"/>
        <v>3280482.41</v>
      </c>
      <c r="J848" s="119">
        <f t="shared" si="183"/>
        <v>0</v>
      </c>
      <c r="K848" s="118">
        <f t="shared" si="183"/>
        <v>0</v>
      </c>
      <c r="L848" s="118">
        <f t="shared" si="183"/>
        <v>29041044.84</v>
      </c>
      <c r="M848" s="118">
        <f t="shared" si="183"/>
        <v>0</v>
      </c>
      <c r="N848" s="118">
        <f t="shared" si="183"/>
        <v>0</v>
      </c>
      <c r="O848" s="118">
        <f t="shared" si="183"/>
        <v>0</v>
      </c>
      <c r="P848" s="118">
        <f t="shared" si="183"/>
        <v>2729498</v>
      </c>
      <c r="Q848" s="118">
        <f t="shared" si="183"/>
        <v>0</v>
      </c>
      <c r="R848" s="118">
        <f t="shared" si="183"/>
        <v>1204307.78</v>
      </c>
      <c r="S848" s="118">
        <f t="shared" si="183"/>
        <v>0</v>
      </c>
      <c r="T848" s="118">
        <f t="shared" si="183"/>
        <v>0</v>
      </c>
      <c r="U848" s="238"/>
      <c r="V848" s="238"/>
    </row>
    <row r="849" spans="1:39" s="40" customFormat="1" ht="21.75" customHeight="1" x14ac:dyDescent="0.25">
      <c r="A849" s="259">
        <v>1</v>
      </c>
      <c r="B849" s="281" t="s">
        <v>1366</v>
      </c>
      <c r="C849" s="75">
        <f t="shared" ref="C849:C864" si="184">D849+K849+L849+M849+N849+O849+P849+Q849+R849+S849+T849</f>
        <v>3094197.23</v>
      </c>
      <c r="D849" s="75">
        <f t="shared" ref="D849:D864" si="185">SUM(E849:I849)</f>
        <v>2509310</v>
      </c>
      <c r="E849" s="261">
        <v>0</v>
      </c>
      <c r="F849" s="261">
        <v>2088695</v>
      </c>
      <c r="G849" s="261">
        <v>0</v>
      </c>
      <c r="H849" s="261">
        <v>0</v>
      </c>
      <c r="I849" s="261">
        <v>420615</v>
      </c>
      <c r="J849" s="262">
        <v>0</v>
      </c>
      <c r="K849" s="261">
        <v>0</v>
      </c>
      <c r="L849" s="261">
        <v>0</v>
      </c>
      <c r="M849" s="261">
        <v>0</v>
      </c>
      <c r="N849" s="261">
        <v>0</v>
      </c>
      <c r="O849" s="261">
        <v>0</v>
      </c>
      <c r="P849" s="261">
        <f>265594+265594</f>
        <v>531188</v>
      </c>
      <c r="Q849" s="261">
        <v>0</v>
      </c>
      <c r="R849" s="261">
        <f>9001.16+44698.07</f>
        <v>53699.229999999996</v>
      </c>
      <c r="S849" s="261">
        <v>0</v>
      </c>
      <c r="T849" s="261">
        <v>0</v>
      </c>
      <c r="U849" s="238"/>
      <c r="V849" s="238"/>
    </row>
    <row r="850" spans="1:39" s="40" customFormat="1" ht="21.75" customHeight="1" x14ac:dyDescent="0.25">
      <c r="A850" s="259">
        <v>2</v>
      </c>
      <c r="B850" s="260" t="s">
        <v>758</v>
      </c>
      <c r="C850" s="75">
        <f t="shared" si="184"/>
        <v>286030.61</v>
      </c>
      <c r="D850" s="75">
        <f t="shared" si="185"/>
        <v>280037.8</v>
      </c>
      <c r="E850" s="261">
        <v>0</v>
      </c>
      <c r="F850" s="261">
        <v>0</v>
      </c>
      <c r="G850" s="261">
        <v>0</v>
      </c>
      <c r="H850" s="261">
        <v>280037.8</v>
      </c>
      <c r="I850" s="261">
        <v>0</v>
      </c>
      <c r="J850" s="262">
        <v>0</v>
      </c>
      <c r="K850" s="261">
        <v>0</v>
      </c>
      <c r="L850" s="261">
        <v>0</v>
      </c>
      <c r="M850" s="261">
        <v>0</v>
      </c>
      <c r="N850" s="261">
        <v>0</v>
      </c>
      <c r="O850" s="261">
        <v>0</v>
      </c>
      <c r="P850" s="261">
        <v>0</v>
      </c>
      <c r="Q850" s="261">
        <v>0</v>
      </c>
      <c r="R850" s="261">
        <v>5992.81</v>
      </c>
      <c r="S850" s="261">
        <v>0</v>
      </c>
      <c r="T850" s="261">
        <v>0</v>
      </c>
      <c r="U850" s="238"/>
      <c r="V850" s="238"/>
    </row>
    <row r="851" spans="1:39" s="40" customFormat="1" ht="21.75" customHeight="1" x14ac:dyDescent="0.25">
      <c r="A851" s="259">
        <v>3</v>
      </c>
      <c r="B851" s="260" t="s">
        <v>336</v>
      </c>
      <c r="C851" s="75">
        <f t="shared" si="184"/>
        <v>1861449.6099999999</v>
      </c>
      <c r="D851" s="75">
        <f t="shared" si="185"/>
        <v>1822449.2</v>
      </c>
      <c r="E851" s="261">
        <v>0</v>
      </c>
      <c r="F851" s="261">
        <v>1140503</v>
      </c>
      <c r="G851" s="261">
        <v>0</v>
      </c>
      <c r="H851" s="261">
        <v>229671</v>
      </c>
      <c r="I851" s="261">
        <v>452275.20000000001</v>
      </c>
      <c r="J851" s="262">
        <v>0</v>
      </c>
      <c r="K851" s="261">
        <v>0</v>
      </c>
      <c r="L851" s="261">
        <v>0</v>
      </c>
      <c r="M851" s="261">
        <v>0</v>
      </c>
      <c r="N851" s="261">
        <v>0</v>
      </c>
      <c r="O851" s="261">
        <v>0</v>
      </c>
      <c r="P851" s="261">
        <v>0</v>
      </c>
      <c r="Q851" s="261">
        <v>0</v>
      </c>
      <c r="R851" s="261">
        <f>9678.69+4914.96+24406.76</f>
        <v>39000.410000000003</v>
      </c>
      <c r="S851" s="261">
        <v>0</v>
      </c>
      <c r="T851" s="261">
        <v>0</v>
      </c>
      <c r="U851" s="239"/>
      <c r="V851" s="239"/>
      <c r="W851" s="186"/>
      <c r="X851" s="186"/>
      <c r="Y851" s="186"/>
      <c r="Z851" s="186"/>
      <c r="AA851" s="186"/>
      <c r="AB851" s="186"/>
      <c r="AC851" s="186"/>
      <c r="AD851" s="186"/>
      <c r="AE851" s="186"/>
      <c r="AF851" s="186"/>
      <c r="AG851" s="186"/>
      <c r="AH851" s="186"/>
      <c r="AI851" s="186"/>
      <c r="AJ851" s="186"/>
      <c r="AK851" s="186"/>
      <c r="AL851" s="186"/>
      <c r="AM851" s="186"/>
    </row>
    <row r="852" spans="1:39" s="40" customFormat="1" ht="21.75" customHeight="1" x14ac:dyDescent="0.25">
      <c r="A852" s="259">
        <v>4</v>
      </c>
      <c r="B852" s="260" t="s">
        <v>1367</v>
      </c>
      <c r="C852" s="75">
        <f t="shared" si="184"/>
        <v>754058.43</v>
      </c>
      <c r="D852" s="75">
        <f t="shared" si="185"/>
        <v>478230.3</v>
      </c>
      <c r="E852" s="261">
        <v>0</v>
      </c>
      <c r="F852" s="261">
        <v>0</v>
      </c>
      <c r="G852" s="261">
        <v>0</v>
      </c>
      <c r="H852" s="261">
        <v>478230.3</v>
      </c>
      <c r="I852" s="261">
        <v>0</v>
      </c>
      <c r="J852" s="262">
        <v>0</v>
      </c>
      <c r="K852" s="261">
        <v>0</v>
      </c>
      <c r="L852" s="261">
        <v>0</v>
      </c>
      <c r="M852" s="261">
        <v>0</v>
      </c>
      <c r="N852" s="261">
        <v>0</v>
      </c>
      <c r="O852" s="261">
        <v>0</v>
      </c>
      <c r="P852" s="261">
        <v>265594</v>
      </c>
      <c r="Q852" s="261">
        <v>0</v>
      </c>
      <c r="R852" s="261">
        <v>10234.129999999999</v>
      </c>
      <c r="S852" s="261">
        <v>0</v>
      </c>
      <c r="T852" s="261">
        <v>0</v>
      </c>
      <c r="U852" s="239"/>
      <c r="V852" s="239"/>
      <c r="W852" s="186"/>
      <c r="X852" s="186"/>
      <c r="Y852" s="186"/>
      <c r="Z852" s="186"/>
      <c r="AA852" s="186"/>
      <c r="AB852" s="186"/>
      <c r="AC852" s="186"/>
      <c r="AD852" s="186"/>
      <c r="AE852" s="186"/>
      <c r="AF852" s="186"/>
      <c r="AG852" s="186"/>
      <c r="AH852" s="186"/>
      <c r="AI852" s="186"/>
      <c r="AJ852" s="186"/>
      <c r="AK852" s="186"/>
      <c r="AL852" s="186"/>
      <c r="AM852" s="186"/>
    </row>
    <row r="853" spans="1:39" s="40" customFormat="1" ht="21.75" customHeight="1" x14ac:dyDescent="0.25">
      <c r="A853" s="259">
        <v>5</v>
      </c>
      <c r="B853" s="260" t="s">
        <v>1368</v>
      </c>
      <c r="C853" s="75">
        <f t="shared" si="184"/>
        <v>3923788.19</v>
      </c>
      <c r="D853" s="75">
        <f t="shared" si="185"/>
        <v>0</v>
      </c>
      <c r="E853" s="261">
        <v>0</v>
      </c>
      <c r="F853" s="261">
        <v>0</v>
      </c>
      <c r="G853" s="261">
        <v>0</v>
      </c>
      <c r="H853" s="261">
        <v>0</v>
      </c>
      <c r="I853" s="261">
        <v>0</v>
      </c>
      <c r="J853" s="262">
        <v>0</v>
      </c>
      <c r="K853" s="261">
        <v>0</v>
      </c>
      <c r="L853" s="261">
        <v>3581549.04</v>
      </c>
      <c r="M853" s="261">
        <v>0</v>
      </c>
      <c r="N853" s="261">
        <v>0</v>
      </c>
      <c r="O853" s="261">
        <v>0</v>
      </c>
      <c r="P853" s="261">
        <v>265594</v>
      </c>
      <c r="Q853" s="261">
        <v>0</v>
      </c>
      <c r="R853" s="261">
        <v>76645.149999999994</v>
      </c>
      <c r="S853" s="261">
        <v>0</v>
      </c>
      <c r="T853" s="261">
        <v>0</v>
      </c>
      <c r="U853" s="239"/>
      <c r="V853" s="239"/>
      <c r="W853" s="186"/>
      <c r="X853" s="186"/>
      <c r="Y853" s="186"/>
      <c r="Z853" s="186"/>
      <c r="AA853" s="186"/>
      <c r="AB853" s="186"/>
      <c r="AC853" s="186"/>
      <c r="AD853" s="186"/>
      <c r="AE853" s="186"/>
      <c r="AF853" s="186"/>
      <c r="AG853" s="186"/>
      <c r="AH853" s="186"/>
      <c r="AI853" s="186"/>
      <c r="AJ853" s="186"/>
      <c r="AK853" s="186"/>
      <c r="AL853" s="186"/>
      <c r="AM853" s="186"/>
    </row>
    <row r="854" spans="1:39" s="40" customFormat="1" ht="21.75" customHeight="1" x14ac:dyDescent="0.25">
      <c r="A854" s="259">
        <v>6</v>
      </c>
      <c r="B854" s="260" t="s">
        <v>656</v>
      </c>
      <c r="C854" s="75">
        <f t="shared" si="184"/>
        <v>5135750.51</v>
      </c>
      <c r="D854" s="75">
        <f t="shared" si="185"/>
        <v>5028148.1399999997</v>
      </c>
      <c r="E854" s="261">
        <v>0</v>
      </c>
      <c r="F854" s="261">
        <v>5028148.1399999997</v>
      </c>
      <c r="G854" s="261">
        <v>0</v>
      </c>
      <c r="H854" s="261">
        <v>0</v>
      </c>
      <c r="I854" s="261">
        <v>0</v>
      </c>
      <c r="J854" s="262">
        <v>0</v>
      </c>
      <c r="K854" s="261">
        <v>0</v>
      </c>
      <c r="L854" s="261">
        <v>0</v>
      </c>
      <c r="M854" s="261">
        <v>0</v>
      </c>
      <c r="N854" s="261">
        <v>0</v>
      </c>
      <c r="O854" s="261">
        <v>0</v>
      </c>
      <c r="P854" s="261">
        <v>0</v>
      </c>
      <c r="Q854" s="261">
        <v>0</v>
      </c>
      <c r="R854" s="261">
        <v>107602.37</v>
      </c>
      <c r="S854" s="261">
        <v>0</v>
      </c>
      <c r="T854" s="261">
        <v>0</v>
      </c>
      <c r="U854" s="239"/>
      <c r="V854" s="239"/>
    </row>
    <row r="855" spans="1:39" s="40" customFormat="1" ht="21.75" customHeight="1" x14ac:dyDescent="0.25">
      <c r="A855" s="259">
        <v>7</v>
      </c>
      <c r="B855" s="260" t="s">
        <v>1369</v>
      </c>
      <c r="C855" s="75">
        <f t="shared" si="184"/>
        <v>8155076.7599999998</v>
      </c>
      <c r="D855" s="75">
        <f t="shared" si="185"/>
        <v>0</v>
      </c>
      <c r="E855" s="261">
        <v>0</v>
      </c>
      <c r="F855" s="261">
        <v>0</v>
      </c>
      <c r="G855" s="261">
        <v>0</v>
      </c>
      <c r="H855" s="261">
        <v>0</v>
      </c>
      <c r="I855" s="261">
        <v>0</v>
      </c>
      <c r="J855" s="262">
        <v>0</v>
      </c>
      <c r="K855" s="261">
        <v>0</v>
      </c>
      <c r="L855" s="261">
        <v>7724185.2000000002</v>
      </c>
      <c r="M855" s="261">
        <v>0</v>
      </c>
      <c r="N855" s="261">
        <v>0</v>
      </c>
      <c r="O855" s="261">
        <v>0</v>
      </c>
      <c r="P855" s="261">
        <v>265594</v>
      </c>
      <c r="Q855" s="261">
        <v>0</v>
      </c>
      <c r="R855" s="261">
        <v>165297.56</v>
      </c>
      <c r="S855" s="261">
        <v>0</v>
      </c>
      <c r="T855" s="261">
        <v>0</v>
      </c>
      <c r="U855" s="239"/>
      <c r="V855" s="239"/>
      <c r="W855" s="186"/>
      <c r="X855" s="186"/>
      <c r="Y855" s="186"/>
      <c r="Z855" s="186"/>
      <c r="AA855" s="186"/>
      <c r="AB855" s="186"/>
      <c r="AC855" s="186"/>
      <c r="AD855" s="186"/>
      <c r="AE855" s="186"/>
      <c r="AF855" s="186"/>
      <c r="AG855" s="186"/>
      <c r="AH855" s="186"/>
      <c r="AI855" s="186"/>
    </row>
    <row r="856" spans="1:39" s="40" customFormat="1" ht="21.75" customHeight="1" x14ac:dyDescent="0.25">
      <c r="A856" s="259">
        <v>8</v>
      </c>
      <c r="B856" s="260" t="s">
        <v>657</v>
      </c>
      <c r="C856" s="75">
        <f t="shared" si="184"/>
        <v>1731910.6500000001</v>
      </c>
      <c r="D856" s="75">
        <f t="shared" si="185"/>
        <v>1695624.29</v>
      </c>
      <c r="E856" s="261">
        <v>0</v>
      </c>
      <c r="F856" s="261">
        <v>0</v>
      </c>
      <c r="G856" s="261">
        <v>0</v>
      </c>
      <c r="H856" s="261">
        <v>0</v>
      </c>
      <c r="I856" s="261">
        <v>1695624.29</v>
      </c>
      <c r="J856" s="262">
        <v>0</v>
      </c>
      <c r="K856" s="261">
        <v>0</v>
      </c>
      <c r="L856" s="261">
        <v>0</v>
      </c>
      <c r="M856" s="261">
        <v>0</v>
      </c>
      <c r="N856" s="261">
        <v>0</v>
      </c>
      <c r="O856" s="261">
        <v>0</v>
      </c>
      <c r="P856" s="261">
        <v>0</v>
      </c>
      <c r="Q856" s="261">
        <v>0</v>
      </c>
      <c r="R856" s="261">
        <v>36286.36</v>
      </c>
      <c r="S856" s="261">
        <v>0</v>
      </c>
      <c r="T856" s="261">
        <v>0</v>
      </c>
      <c r="U856" s="239"/>
      <c r="V856" s="239"/>
      <c r="W856" s="186"/>
      <c r="X856" s="186"/>
      <c r="Y856" s="186"/>
      <c r="Z856" s="186"/>
      <c r="AA856" s="186"/>
      <c r="AB856" s="186"/>
      <c r="AC856" s="186"/>
      <c r="AD856" s="186"/>
      <c r="AE856" s="186"/>
      <c r="AF856" s="186"/>
      <c r="AG856" s="186"/>
      <c r="AH856" s="186"/>
      <c r="AI856" s="186"/>
    </row>
    <row r="857" spans="1:39" s="40" customFormat="1" ht="21.75" customHeight="1" x14ac:dyDescent="0.25">
      <c r="A857" s="259">
        <v>9</v>
      </c>
      <c r="B857" s="260" t="s">
        <v>761</v>
      </c>
      <c r="C857" s="75">
        <f t="shared" si="184"/>
        <v>9032022.2300000004</v>
      </c>
      <c r="D857" s="75">
        <f t="shared" si="185"/>
        <v>8791051.7300000004</v>
      </c>
      <c r="E857" s="261">
        <v>0</v>
      </c>
      <c r="F857" s="263">
        <v>8791051.7300000004</v>
      </c>
      <c r="G857" s="261">
        <v>0</v>
      </c>
      <c r="H857" s="261">
        <v>0</v>
      </c>
      <c r="I857" s="261">
        <v>0</v>
      </c>
      <c r="J857" s="262">
        <v>0</v>
      </c>
      <c r="K857" s="261">
        <v>0</v>
      </c>
      <c r="L857" s="263">
        <v>0</v>
      </c>
      <c r="M857" s="263">
        <v>0</v>
      </c>
      <c r="N857" s="261">
        <v>0</v>
      </c>
      <c r="O857" s="261">
        <v>0</v>
      </c>
      <c r="P857" s="261">
        <v>0</v>
      </c>
      <c r="Q857" s="261">
        <v>0</v>
      </c>
      <c r="R857" s="261">
        <v>240970.5</v>
      </c>
      <c r="S857" s="261">
        <v>0</v>
      </c>
      <c r="T857" s="261">
        <v>0</v>
      </c>
      <c r="U857" s="254"/>
      <c r="V857" s="254"/>
    </row>
    <row r="858" spans="1:39" s="40" customFormat="1" ht="21.75" customHeight="1" x14ac:dyDescent="0.25">
      <c r="A858" s="259">
        <v>10</v>
      </c>
      <c r="B858" s="281" t="s">
        <v>1370</v>
      </c>
      <c r="C858" s="75">
        <f t="shared" si="184"/>
        <v>8585330.9400000013</v>
      </c>
      <c r="D858" s="75">
        <f t="shared" si="185"/>
        <v>0</v>
      </c>
      <c r="E858" s="261">
        <v>0</v>
      </c>
      <c r="F858" s="261">
        <v>0</v>
      </c>
      <c r="G858" s="261">
        <v>0</v>
      </c>
      <c r="H858" s="261">
        <v>0</v>
      </c>
      <c r="I858" s="261">
        <v>0</v>
      </c>
      <c r="J858" s="262">
        <v>0</v>
      </c>
      <c r="K858" s="261">
        <v>0</v>
      </c>
      <c r="L858" s="261">
        <v>8062413.2999999998</v>
      </c>
      <c r="M858" s="261">
        <v>0</v>
      </c>
      <c r="N858" s="261">
        <v>0</v>
      </c>
      <c r="O858" s="261">
        <v>0</v>
      </c>
      <c r="P858" s="261">
        <v>350382</v>
      </c>
      <c r="Q858" s="261">
        <v>0</v>
      </c>
      <c r="R858" s="261">
        <v>172535.64</v>
      </c>
      <c r="S858" s="261">
        <v>0</v>
      </c>
      <c r="T858" s="261">
        <v>0</v>
      </c>
      <c r="U858" s="239"/>
      <c r="V858" s="239"/>
      <c r="W858" s="186"/>
      <c r="X858" s="186"/>
      <c r="Y858" s="186"/>
      <c r="Z858" s="186"/>
      <c r="AA858" s="186"/>
      <c r="AB858" s="186"/>
      <c r="AC858" s="186"/>
      <c r="AD858" s="186"/>
      <c r="AE858" s="186"/>
      <c r="AF858" s="186"/>
      <c r="AG858" s="186"/>
      <c r="AH858" s="186"/>
      <c r="AI858" s="186"/>
    </row>
    <row r="859" spans="1:39" s="40" customFormat="1" ht="21.75" customHeight="1" x14ac:dyDescent="0.25">
      <c r="A859" s="259">
        <v>11</v>
      </c>
      <c r="B859" s="281" t="s">
        <v>1371</v>
      </c>
      <c r="C859" s="75">
        <f t="shared" si="184"/>
        <v>10230279.300000001</v>
      </c>
      <c r="D859" s="75">
        <f t="shared" si="185"/>
        <v>0</v>
      </c>
      <c r="E859" s="261">
        <v>0</v>
      </c>
      <c r="F859" s="261">
        <v>0</v>
      </c>
      <c r="G859" s="261">
        <v>0</v>
      </c>
      <c r="H859" s="261">
        <v>0</v>
      </c>
      <c r="I859" s="261">
        <v>0</v>
      </c>
      <c r="J859" s="262">
        <v>0</v>
      </c>
      <c r="K859" s="261">
        <v>0</v>
      </c>
      <c r="L859" s="261">
        <v>9672897.3000000007</v>
      </c>
      <c r="M859" s="261">
        <v>0</v>
      </c>
      <c r="N859" s="261">
        <v>0</v>
      </c>
      <c r="O859" s="261">
        <v>0</v>
      </c>
      <c r="P859" s="261">
        <v>350382</v>
      </c>
      <c r="Q859" s="261">
        <v>0</v>
      </c>
      <c r="R859" s="261">
        <v>207000</v>
      </c>
      <c r="S859" s="261">
        <v>0</v>
      </c>
      <c r="T859" s="261">
        <v>0</v>
      </c>
      <c r="U859" s="239"/>
      <c r="V859" s="239"/>
      <c r="W859" s="186"/>
      <c r="X859" s="186"/>
      <c r="Y859" s="186"/>
      <c r="Z859" s="186"/>
      <c r="AA859" s="186"/>
      <c r="AB859" s="186"/>
      <c r="AC859" s="186"/>
      <c r="AD859" s="186"/>
      <c r="AE859" s="186"/>
      <c r="AF859" s="186"/>
      <c r="AG859" s="186"/>
      <c r="AH859" s="186"/>
      <c r="AI859" s="186"/>
    </row>
    <row r="860" spans="1:39" s="40" customFormat="1" ht="21.75" customHeight="1" x14ac:dyDescent="0.25">
      <c r="A860" s="259">
        <v>12</v>
      </c>
      <c r="B860" s="281" t="s">
        <v>1372</v>
      </c>
      <c r="C860" s="75">
        <f t="shared" si="184"/>
        <v>1264545.6199999999</v>
      </c>
      <c r="D860" s="75">
        <f t="shared" si="185"/>
        <v>895010.4</v>
      </c>
      <c r="E860" s="261">
        <v>0</v>
      </c>
      <c r="F860" s="261">
        <v>0</v>
      </c>
      <c r="G860" s="261">
        <v>0</v>
      </c>
      <c r="H860" s="261">
        <v>895010.4</v>
      </c>
      <c r="I860" s="261">
        <v>0</v>
      </c>
      <c r="J860" s="262">
        <v>0</v>
      </c>
      <c r="K860" s="261">
        <v>0</v>
      </c>
      <c r="L860" s="261">
        <v>0</v>
      </c>
      <c r="M860" s="261">
        <v>0</v>
      </c>
      <c r="N860" s="261">
        <v>0</v>
      </c>
      <c r="O860" s="261">
        <v>0</v>
      </c>
      <c r="P860" s="261">
        <v>350382</v>
      </c>
      <c r="Q860" s="261">
        <v>0</v>
      </c>
      <c r="R860" s="261">
        <v>19153.22</v>
      </c>
      <c r="S860" s="261">
        <v>0</v>
      </c>
      <c r="T860" s="261">
        <v>0</v>
      </c>
      <c r="U860" s="239"/>
      <c r="V860" s="239"/>
      <c r="W860" s="186"/>
      <c r="X860" s="186"/>
      <c r="Y860" s="186"/>
      <c r="Z860" s="186"/>
      <c r="AA860" s="186"/>
      <c r="AB860" s="186"/>
      <c r="AC860" s="186"/>
      <c r="AD860" s="186"/>
      <c r="AE860" s="186"/>
      <c r="AF860" s="186"/>
      <c r="AG860" s="186"/>
      <c r="AH860" s="186"/>
      <c r="AI860" s="186"/>
    </row>
    <row r="861" spans="1:39" s="40" customFormat="1" ht="21.75" customHeight="1" x14ac:dyDescent="0.25">
      <c r="A861" s="259">
        <v>13</v>
      </c>
      <c r="B861" s="260" t="s">
        <v>347</v>
      </c>
      <c r="C861" s="75">
        <f t="shared" si="184"/>
        <v>2616925.8400000003</v>
      </c>
      <c r="D861" s="75">
        <f t="shared" si="185"/>
        <v>2562096.9700000002</v>
      </c>
      <c r="E861" s="261">
        <v>0</v>
      </c>
      <c r="F861" s="261">
        <v>1486481.33</v>
      </c>
      <c r="G861" s="261">
        <v>160584.54</v>
      </c>
      <c r="H861" s="261">
        <v>203063.18</v>
      </c>
      <c r="I861" s="261">
        <v>711967.92</v>
      </c>
      <c r="J861" s="262">
        <v>0</v>
      </c>
      <c r="K861" s="261">
        <v>0</v>
      </c>
      <c r="L861" s="261">
        <v>0</v>
      </c>
      <c r="M861" s="261">
        <v>0</v>
      </c>
      <c r="N861" s="261">
        <v>0</v>
      </c>
      <c r="O861" s="261">
        <v>0</v>
      </c>
      <c r="P861" s="261">
        <v>0</v>
      </c>
      <c r="Q861" s="261">
        <v>0</v>
      </c>
      <c r="R861" s="261">
        <f>15236.11+4345.55+31810.7+3436.51</f>
        <v>54828.87</v>
      </c>
      <c r="S861" s="261">
        <v>0</v>
      </c>
      <c r="T861" s="261">
        <v>0</v>
      </c>
      <c r="U861" s="239"/>
      <c r="V861" s="239"/>
      <c r="W861" s="44"/>
      <c r="X861" s="44"/>
      <c r="Y861" s="44"/>
      <c r="Z861" s="44"/>
      <c r="AA861" s="44"/>
      <c r="AB861" s="44"/>
      <c r="AC861" s="44"/>
      <c r="AD861" s="44"/>
      <c r="AE861" s="44"/>
      <c r="AF861" s="44"/>
      <c r="AG861" s="44"/>
      <c r="AH861" s="44"/>
      <c r="AI861" s="44"/>
    </row>
    <row r="862" spans="1:39" s="40" customFormat="1" ht="21.75" customHeight="1" x14ac:dyDescent="0.25">
      <c r="A862" s="259">
        <v>14</v>
      </c>
      <c r="B862" s="281" t="s">
        <v>1373</v>
      </c>
      <c r="C862" s="75">
        <f t="shared" si="184"/>
        <v>514815.55000000005</v>
      </c>
      <c r="D862" s="75">
        <f t="shared" si="185"/>
        <v>160988.4</v>
      </c>
      <c r="E862" s="261">
        <v>0</v>
      </c>
      <c r="F862" s="261">
        <v>0</v>
      </c>
      <c r="G862" s="261">
        <v>0</v>
      </c>
      <c r="H862" s="261">
        <v>160988.4</v>
      </c>
      <c r="I862" s="261">
        <v>0</v>
      </c>
      <c r="J862" s="262">
        <v>0</v>
      </c>
      <c r="K862" s="261">
        <v>0</v>
      </c>
      <c r="L862" s="261">
        <v>0</v>
      </c>
      <c r="M862" s="261">
        <v>0</v>
      </c>
      <c r="N862" s="261">
        <v>0</v>
      </c>
      <c r="O862" s="261">
        <v>0</v>
      </c>
      <c r="P862" s="261">
        <v>350382</v>
      </c>
      <c r="Q862" s="261">
        <v>0</v>
      </c>
      <c r="R862" s="261">
        <v>3445.15</v>
      </c>
      <c r="S862" s="261">
        <v>0</v>
      </c>
      <c r="T862" s="261">
        <v>0</v>
      </c>
      <c r="U862" s="239"/>
      <c r="V862" s="239"/>
      <c r="W862" s="186"/>
      <c r="X862" s="186"/>
      <c r="Y862" s="186"/>
      <c r="Z862" s="186"/>
      <c r="AA862" s="186"/>
      <c r="AB862" s="186"/>
      <c r="AC862" s="186"/>
      <c r="AD862" s="186"/>
      <c r="AE862" s="186"/>
      <c r="AF862" s="186"/>
      <c r="AG862" s="186"/>
      <c r="AH862" s="186"/>
      <c r="AI862" s="186"/>
    </row>
    <row r="863" spans="1:39" s="40" customFormat="1" ht="21.75" customHeight="1" x14ac:dyDescent="0.25">
      <c r="A863" s="259">
        <v>15</v>
      </c>
      <c r="B863" s="260" t="s">
        <v>766</v>
      </c>
      <c r="C863" s="75">
        <f t="shared" si="184"/>
        <v>826533.6</v>
      </c>
      <c r="D863" s="75">
        <f t="shared" si="185"/>
        <v>826533.6</v>
      </c>
      <c r="E863" s="261">
        <v>0</v>
      </c>
      <c r="F863" s="261">
        <v>0</v>
      </c>
      <c r="G863" s="261">
        <v>659781.6</v>
      </c>
      <c r="H863" s="261">
        <v>166752</v>
      </c>
      <c r="I863" s="261">
        <v>0</v>
      </c>
      <c r="J863" s="262">
        <v>0</v>
      </c>
      <c r="K863" s="261">
        <v>0</v>
      </c>
      <c r="L863" s="261">
        <v>0</v>
      </c>
      <c r="M863" s="261">
        <v>0</v>
      </c>
      <c r="N863" s="261">
        <v>0</v>
      </c>
      <c r="O863" s="261">
        <v>0</v>
      </c>
      <c r="P863" s="261">
        <v>0</v>
      </c>
      <c r="Q863" s="261">
        <v>0</v>
      </c>
      <c r="R863" s="261">
        <v>0</v>
      </c>
      <c r="S863" s="261">
        <v>0</v>
      </c>
      <c r="T863" s="261">
        <v>0</v>
      </c>
      <c r="U863" s="239"/>
      <c r="V863" s="239"/>
      <c r="W863" s="186"/>
      <c r="X863" s="186"/>
      <c r="Y863" s="186"/>
      <c r="Z863" s="186"/>
      <c r="AA863" s="186"/>
      <c r="AB863" s="186"/>
      <c r="AC863" s="186"/>
      <c r="AD863" s="186"/>
      <c r="AE863" s="186"/>
      <c r="AF863" s="186"/>
      <c r="AG863" s="186"/>
      <c r="AH863" s="186"/>
      <c r="AI863" s="186"/>
    </row>
    <row r="864" spans="1:39" s="40" customFormat="1" ht="21.75" customHeight="1" x14ac:dyDescent="0.25">
      <c r="A864" s="259">
        <v>16</v>
      </c>
      <c r="B864" s="260" t="s">
        <v>767</v>
      </c>
      <c r="C864" s="75">
        <f t="shared" si="184"/>
        <v>303809.98</v>
      </c>
      <c r="D864" s="75">
        <f t="shared" si="185"/>
        <v>292193.59999999998</v>
      </c>
      <c r="E864" s="261">
        <v>0</v>
      </c>
      <c r="F864" s="261">
        <v>0</v>
      </c>
      <c r="G864" s="261">
        <v>0</v>
      </c>
      <c r="H864" s="263">
        <v>292193.59999999998</v>
      </c>
      <c r="I864" s="261">
        <v>0</v>
      </c>
      <c r="J864" s="262">
        <v>0</v>
      </c>
      <c r="K864" s="261">
        <v>0</v>
      </c>
      <c r="L864" s="261">
        <v>0</v>
      </c>
      <c r="M864" s="261">
        <v>0</v>
      </c>
      <c r="N864" s="261">
        <v>0</v>
      </c>
      <c r="O864" s="261">
        <v>0</v>
      </c>
      <c r="P864" s="261">
        <v>0</v>
      </c>
      <c r="Q864" s="261">
        <v>0</v>
      </c>
      <c r="R864" s="261">
        <v>11616.38</v>
      </c>
      <c r="S864" s="261">
        <v>0</v>
      </c>
      <c r="T864" s="261">
        <v>0</v>
      </c>
      <c r="U864" s="239"/>
      <c r="V864" s="239"/>
    </row>
    <row r="865" spans="1:39" s="186" customFormat="1" ht="32.25" customHeight="1" x14ac:dyDescent="0.25">
      <c r="A865" s="322" t="s">
        <v>349</v>
      </c>
      <c r="B865" s="322"/>
      <c r="C865" s="118">
        <f t="shared" ref="C865:T865" si="186">C866</f>
        <v>6418309.8899999997</v>
      </c>
      <c r="D865" s="118">
        <f t="shared" si="186"/>
        <v>0</v>
      </c>
      <c r="E865" s="118">
        <f t="shared" si="186"/>
        <v>0</v>
      </c>
      <c r="F865" s="118">
        <f t="shared" si="186"/>
        <v>0</v>
      </c>
      <c r="G865" s="118">
        <f t="shared" si="186"/>
        <v>0</v>
      </c>
      <c r="H865" s="118">
        <f t="shared" si="186"/>
        <v>0</v>
      </c>
      <c r="I865" s="118">
        <f t="shared" si="186"/>
        <v>0</v>
      </c>
      <c r="J865" s="119">
        <f t="shared" si="186"/>
        <v>0</v>
      </c>
      <c r="K865" s="118">
        <f t="shared" si="186"/>
        <v>0</v>
      </c>
      <c r="L865" s="118">
        <f t="shared" si="186"/>
        <v>0</v>
      </c>
      <c r="M865" s="118">
        <f t="shared" si="186"/>
        <v>0</v>
      </c>
      <c r="N865" s="118">
        <f t="shared" si="186"/>
        <v>6283835.7999999998</v>
      </c>
      <c r="O865" s="118">
        <f t="shared" si="186"/>
        <v>0</v>
      </c>
      <c r="P865" s="118">
        <f t="shared" si="186"/>
        <v>0</v>
      </c>
      <c r="Q865" s="118">
        <f t="shared" si="186"/>
        <v>0</v>
      </c>
      <c r="R865" s="118">
        <f t="shared" si="186"/>
        <v>134474.09</v>
      </c>
      <c r="S865" s="118">
        <f t="shared" si="186"/>
        <v>0</v>
      </c>
      <c r="T865" s="118">
        <f t="shared" si="186"/>
        <v>0</v>
      </c>
      <c r="U865" s="239"/>
      <c r="V865" s="239"/>
    </row>
    <row r="866" spans="1:39" s="40" customFormat="1" ht="21.75" customHeight="1" x14ac:dyDescent="0.25">
      <c r="A866" s="259">
        <v>1</v>
      </c>
      <c r="B866" s="260" t="s">
        <v>768</v>
      </c>
      <c r="C866" s="75">
        <f>D866+K866+L866+M866+N866+O866+P866+Q866+R866+S866+T866</f>
        <v>6418309.8899999997</v>
      </c>
      <c r="D866" s="75">
        <f>SUM(E866:I866)</f>
        <v>0</v>
      </c>
      <c r="E866" s="261">
        <v>0</v>
      </c>
      <c r="F866" s="261">
        <v>0</v>
      </c>
      <c r="G866" s="261">
        <v>0</v>
      </c>
      <c r="H866" s="261">
        <v>0</v>
      </c>
      <c r="I866" s="261">
        <v>0</v>
      </c>
      <c r="J866" s="262">
        <v>0</v>
      </c>
      <c r="K866" s="261">
        <v>0</v>
      </c>
      <c r="L866" s="261">
        <v>0</v>
      </c>
      <c r="M866" s="261">
        <v>0</v>
      </c>
      <c r="N866" s="261">
        <v>6283835.7999999998</v>
      </c>
      <c r="O866" s="261">
        <v>0</v>
      </c>
      <c r="P866" s="261">
        <v>0</v>
      </c>
      <c r="Q866" s="261">
        <v>0</v>
      </c>
      <c r="R866" s="261">
        <v>134474.09</v>
      </c>
      <c r="S866" s="261">
        <v>0</v>
      </c>
      <c r="T866" s="261">
        <v>0</v>
      </c>
      <c r="U866" s="239"/>
      <c r="V866" s="239"/>
    </row>
    <row r="867" spans="1:39" s="186" customFormat="1" ht="21.75" customHeight="1" x14ac:dyDescent="0.25">
      <c r="A867" s="322" t="s">
        <v>360</v>
      </c>
      <c r="B867" s="322"/>
      <c r="C867" s="118">
        <f t="shared" ref="C867:T867" si="187">SUM(C868:C875)</f>
        <v>82973909.859999999</v>
      </c>
      <c r="D867" s="118">
        <f t="shared" si="187"/>
        <v>17458963.949999999</v>
      </c>
      <c r="E867" s="118">
        <f t="shared" si="187"/>
        <v>4996823.9400000004</v>
      </c>
      <c r="F867" s="118">
        <f t="shared" si="187"/>
        <v>3341529.4</v>
      </c>
      <c r="G867" s="118">
        <f t="shared" si="187"/>
        <v>6179057.9900000002</v>
      </c>
      <c r="H867" s="118">
        <f t="shared" si="187"/>
        <v>1175693.67</v>
      </c>
      <c r="I867" s="118">
        <f t="shared" si="187"/>
        <v>1765858.95</v>
      </c>
      <c r="J867" s="119">
        <f t="shared" si="187"/>
        <v>0</v>
      </c>
      <c r="K867" s="118">
        <f t="shared" si="187"/>
        <v>0</v>
      </c>
      <c r="L867" s="118">
        <f t="shared" si="187"/>
        <v>1822555.65</v>
      </c>
      <c r="M867" s="118">
        <f t="shared" si="187"/>
        <v>0</v>
      </c>
      <c r="N867" s="118">
        <f t="shared" si="187"/>
        <v>7731787.5</v>
      </c>
      <c r="O867" s="118">
        <f t="shared" si="187"/>
        <v>0</v>
      </c>
      <c r="P867" s="118">
        <f t="shared" si="187"/>
        <v>700764</v>
      </c>
      <c r="Q867" s="118">
        <f t="shared" si="187"/>
        <v>0</v>
      </c>
      <c r="R867" s="118">
        <f t="shared" si="187"/>
        <v>1673368.96</v>
      </c>
      <c r="S867" s="118">
        <f t="shared" si="187"/>
        <v>53586469.799999997</v>
      </c>
      <c r="T867" s="118">
        <f t="shared" si="187"/>
        <v>0</v>
      </c>
      <c r="U867" s="252"/>
      <c r="V867" s="252"/>
    </row>
    <row r="868" spans="1:39" s="186" customFormat="1" ht="21.75" customHeight="1" x14ac:dyDescent="0.25">
      <c r="A868" s="25">
        <v>1</v>
      </c>
      <c r="B868" s="37" t="s">
        <v>769</v>
      </c>
      <c r="C868" s="75">
        <f t="shared" ref="C868:C875" si="188">D868+K868+L868+M868+N868+O868+P868+Q868+R868+S868+T868</f>
        <v>10872246.24</v>
      </c>
      <c r="D868" s="75">
        <f t="shared" ref="D868:D875" si="189">SUM(E868:I868)</f>
        <v>10644454.9</v>
      </c>
      <c r="E868" s="87">
        <v>4447372.24</v>
      </c>
      <c r="F868" s="75">
        <v>0</v>
      </c>
      <c r="G868" s="75">
        <v>4409183.49</v>
      </c>
      <c r="H868" s="87">
        <v>381019.18</v>
      </c>
      <c r="I868" s="75">
        <v>1406879.99</v>
      </c>
      <c r="J868" s="152">
        <v>0</v>
      </c>
      <c r="K868" s="75">
        <v>0</v>
      </c>
      <c r="L868" s="75">
        <v>0</v>
      </c>
      <c r="M868" s="75">
        <v>0</v>
      </c>
      <c r="N868" s="75">
        <v>0</v>
      </c>
      <c r="O868" s="75">
        <v>0</v>
      </c>
      <c r="P868" s="75">
        <v>0</v>
      </c>
      <c r="Q868" s="75">
        <v>0</v>
      </c>
      <c r="R868" s="75">
        <f>95173.77+94356.53+8153.81+30107.23</f>
        <v>227791.34</v>
      </c>
      <c r="S868" s="75">
        <v>0</v>
      </c>
      <c r="T868" s="75">
        <v>0</v>
      </c>
      <c r="U868" s="253"/>
      <c r="V868" s="253"/>
      <c r="W868" s="40"/>
      <c r="X868" s="40"/>
      <c r="Y868" s="40"/>
      <c r="Z868" s="40"/>
      <c r="AA868" s="40"/>
      <c r="AB868" s="40"/>
      <c r="AC868" s="40"/>
      <c r="AD868" s="40"/>
      <c r="AE868" s="40"/>
      <c r="AF868" s="40"/>
      <c r="AG868" s="40"/>
      <c r="AH868" s="40"/>
      <c r="AI868" s="40"/>
    </row>
    <row r="869" spans="1:39" s="186" customFormat="1" ht="21.75" customHeight="1" x14ac:dyDescent="0.25">
      <c r="A869" s="25">
        <v>2</v>
      </c>
      <c r="B869" s="37" t="s">
        <v>1374</v>
      </c>
      <c r="C869" s="75">
        <f t="shared" si="188"/>
        <v>29941857.989999998</v>
      </c>
      <c r="D869" s="75">
        <f t="shared" si="189"/>
        <v>0</v>
      </c>
      <c r="E869" s="75">
        <v>0</v>
      </c>
      <c r="F869" s="87">
        <v>0</v>
      </c>
      <c r="G869" s="75">
        <v>0</v>
      </c>
      <c r="H869" s="75">
        <v>0</v>
      </c>
      <c r="I869" s="75">
        <v>0</v>
      </c>
      <c r="J869" s="152">
        <v>0</v>
      </c>
      <c r="K869" s="75">
        <v>0</v>
      </c>
      <c r="L869" s="87">
        <v>0</v>
      </c>
      <c r="M869" s="75">
        <v>0</v>
      </c>
      <c r="N869" s="87">
        <v>0</v>
      </c>
      <c r="O869" s="75">
        <v>0</v>
      </c>
      <c r="P869" s="87">
        <v>350382</v>
      </c>
      <c r="Q869" s="75">
        <v>0</v>
      </c>
      <c r="R869" s="75">
        <v>619980.99</v>
      </c>
      <c r="S869" s="75">
        <v>28971495</v>
      </c>
      <c r="T869" s="75">
        <v>0</v>
      </c>
      <c r="U869" s="253"/>
      <c r="V869" s="253"/>
      <c r="W869" s="40"/>
      <c r="X869" s="40"/>
      <c r="Y869" s="40"/>
      <c r="Z869" s="40"/>
      <c r="AA869" s="40"/>
      <c r="AB869" s="40"/>
      <c r="AC869" s="40"/>
      <c r="AD869" s="40"/>
      <c r="AE869" s="40"/>
      <c r="AF869" s="40"/>
      <c r="AG869" s="40"/>
      <c r="AH869" s="40"/>
      <c r="AI869" s="40"/>
    </row>
    <row r="870" spans="1:39" s="40" customFormat="1" ht="21.75" customHeight="1" x14ac:dyDescent="0.25">
      <c r="A870" s="25">
        <v>3</v>
      </c>
      <c r="B870" s="260" t="s">
        <v>361</v>
      </c>
      <c r="C870" s="75">
        <f t="shared" si="188"/>
        <v>7897247.75</v>
      </c>
      <c r="D870" s="75">
        <f t="shared" si="189"/>
        <v>0</v>
      </c>
      <c r="E870" s="261">
        <v>0</v>
      </c>
      <c r="F870" s="261">
        <v>0</v>
      </c>
      <c r="G870" s="261">
        <v>0</v>
      </c>
      <c r="H870" s="261">
        <v>0</v>
      </c>
      <c r="I870" s="261">
        <v>0</v>
      </c>
      <c r="J870" s="262">
        <v>0</v>
      </c>
      <c r="K870" s="261">
        <v>0</v>
      </c>
      <c r="L870" s="261">
        <v>0</v>
      </c>
      <c r="M870" s="261">
        <v>0</v>
      </c>
      <c r="N870" s="261">
        <v>7731787.5</v>
      </c>
      <c r="O870" s="261">
        <v>0</v>
      </c>
      <c r="P870" s="263">
        <v>0</v>
      </c>
      <c r="Q870" s="261">
        <v>0</v>
      </c>
      <c r="R870" s="261">
        <v>165460.25</v>
      </c>
      <c r="S870" s="261">
        <v>0</v>
      </c>
      <c r="T870" s="261">
        <v>0</v>
      </c>
      <c r="U870" s="253"/>
      <c r="V870" s="253"/>
    </row>
    <row r="871" spans="1:39" s="186" customFormat="1" ht="21.75" customHeight="1" x14ac:dyDescent="0.25">
      <c r="A871" s="25">
        <v>4</v>
      </c>
      <c r="B871" s="37" t="s">
        <v>772</v>
      </c>
      <c r="C871" s="75">
        <f t="shared" si="188"/>
        <v>598310.87</v>
      </c>
      <c r="D871" s="75">
        <f t="shared" si="189"/>
        <v>585685.55000000005</v>
      </c>
      <c r="E871" s="75">
        <v>0</v>
      </c>
      <c r="F871" s="75">
        <v>0</v>
      </c>
      <c r="G871" s="75">
        <v>0</v>
      </c>
      <c r="H871" s="75">
        <v>226706.59</v>
      </c>
      <c r="I871" s="75">
        <v>358978.96</v>
      </c>
      <c r="J871" s="152">
        <v>0</v>
      </c>
      <c r="K871" s="75">
        <v>0</v>
      </c>
      <c r="L871" s="75">
        <v>0</v>
      </c>
      <c r="M871" s="75">
        <v>0</v>
      </c>
      <c r="N871" s="75">
        <v>0</v>
      </c>
      <c r="O871" s="75">
        <v>0</v>
      </c>
      <c r="P871" s="75">
        <v>0</v>
      </c>
      <c r="Q871" s="75">
        <v>0</v>
      </c>
      <c r="R871" s="75">
        <f>7748.48+4876.84</f>
        <v>12625.32</v>
      </c>
      <c r="S871" s="75">
        <v>0</v>
      </c>
      <c r="T871" s="75">
        <v>0</v>
      </c>
      <c r="U871" s="253"/>
      <c r="V871" s="253"/>
      <c r="W871" s="44"/>
      <c r="X871" s="44"/>
      <c r="Y871" s="44"/>
      <c r="Z871" s="44"/>
      <c r="AA871" s="44"/>
      <c r="AB871" s="44"/>
      <c r="AC871" s="44"/>
      <c r="AD871" s="44"/>
      <c r="AE871" s="44"/>
      <c r="AF871" s="44"/>
      <c r="AG871" s="44"/>
      <c r="AH871" s="44"/>
      <c r="AI871" s="44"/>
    </row>
    <row r="872" spans="1:39" s="186" customFormat="1" ht="21.75" customHeight="1" x14ac:dyDescent="0.25">
      <c r="A872" s="25">
        <v>5</v>
      </c>
      <c r="B872" s="37" t="s">
        <v>773</v>
      </c>
      <c r="C872" s="75">
        <f t="shared" si="188"/>
        <v>25492053.060000002</v>
      </c>
      <c r="D872" s="75">
        <f t="shared" si="189"/>
        <v>0</v>
      </c>
      <c r="E872" s="75">
        <v>0</v>
      </c>
      <c r="F872" s="75">
        <v>0</v>
      </c>
      <c r="G872" s="75">
        <v>0</v>
      </c>
      <c r="H872" s="75">
        <v>0</v>
      </c>
      <c r="I872" s="75">
        <v>0</v>
      </c>
      <c r="J872" s="152">
        <v>0</v>
      </c>
      <c r="K872" s="75">
        <v>0</v>
      </c>
      <c r="L872" s="87">
        <v>0</v>
      </c>
      <c r="M872" s="75">
        <v>0</v>
      </c>
      <c r="N872" s="75">
        <v>0</v>
      </c>
      <c r="O872" s="75">
        <v>0</v>
      </c>
      <c r="P872" s="75">
        <v>350382</v>
      </c>
      <c r="Q872" s="75">
        <v>0</v>
      </c>
      <c r="R872" s="75">
        <v>526696.26</v>
      </c>
      <c r="S872" s="75">
        <v>24614974.800000001</v>
      </c>
      <c r="T872" s="75">
        <v>0</v>
      </c>
      <c r="U872" s="253"/>
      <c r="V872" s="253"/>
      <c r="W872" s="44"/>
      <c r="X872" s="44"/>
      <c r="Y872" s="44"/>
      <c r="Z872" s="44"/>
      <c r="AA872" s="44"/>
      <c r="AB872" s="44"/>
      <c r="AC872" s="44"/>
      <c r="AD872" s="44"/>
      <c r="AE872" s="44"/>
      <c r="AF872" s="44"/>
      <c r="AG872" s="44"/>
      <c r="AH872" s="44"/>
      <c r="AI872" s="44"/>
    </row>
    <row r="873" spans="1:39" s="40" customFormat="1" ht="21.75" customHeight="1" x14ac:dyDescent="0.25">
      <c r="A873" s="25">
        <v>6</v>
      </c>
      <c r="B873" s="260" t="s">
        <v>774</v>
      </c>
      <c r="C873" s="75">
        <f t="shared" si="188"/>
        <v>561209.97</v>
      </c>
      <c r="D873" s="75">
        <f t="shared" si="189"/>
        <v>549451.69999999995</v>
      </c>
      <c r="E873" s="261">
        <v>549451.69999999995</v>
      </c>
      <c r="F873" s="261">
        <v>0</v>
      </c>
      <c r="G873" s="261">
        <v>0</v>
      </c>
      <c r="H873" s="263">
        <v>0</v>
      </c>
      <c r="I873" s="261">
        <v>0</v>
      </c>
      <c r="J873" s="262">
        <v>0</v>
      </c>
      <c r="K873" s="261">
        <v>0</v>
      </c>
      <c r="L873" s="261">
        <v>0</v>
      </c>
      <c r="M873" s="261">
        <v>0</v>
      </c>
      <c r="N873" s="261">
        <v>0</v>
      </c>
      <c r="O873" s="261">
        <v>0</v>
      </c>
      <c r="P873" s="261">
        <v>0</v>
      </c>
      <c r="Q873" s="261">
        <v>0</v>
      </c>
      <c r="R873" s="261">
        <v>11758.27</v>
      </c>
      <c r="S873" s="261">
        <v>0</v>
      </c>
      <c r="T873" s="261">
        <v>0</v>
      </c>
      <c r="U873" s="253"/>
      <c r="V873" s="253"/>
    </row>
    <row r="874" spans="1:39" s="40" customFormat="1" ht="21.75" customHeight="1" x14ac:dyDescent="0.25">
      <c r="A874" s="25">
        <v>7</v>
      </c>
      <c r="B874" s="37" t="s">
        <v>1375</v>
      </c>
      <c r="C874" s="75">
        <f t="shared" si="188"/>
        <v>2405827.65</v>
      </c>
      <c r="D874" s="75">
        <f t="shared" si="189"/>
        <v>583272</v>
      </c>
      <c r="E874" s="75">
        <v>0</v>
      </c>
      <c r="F874" s="75">
        <v>0</v>
      </c>
      <c r="G874" s="87">
        <v>366574.8</v>
      </c>
      <c r="H874" s="87">
        <v>216697.2</v>
      </c>
      <c r="I874" s="75">
        <v>0</v>
      </c>
      <c r="J874" s="152">
        <v>0</v>
      </c>
      <c r="K874" s="75">
        <v>0</v>
      </c>
      <c r="L874" s="87">
        <v>1822555.65</v>
      </c>
      <c r="M874" s="75">
        <v>0</v>
      </c>
      <c r="N874" s="75">
        <v>0</v>
      </c>
      <c r="O874" s="75">
        <v>0</v>
      </c>
      <c r="P874" s="75">
        <v>0</v>
      </c>
      <c r="Q874" s="75">
        <v>0</v>
      </c>
      <c r="R874" s="75">
        <v>0</v>
      </c>
      <c r="S874" s="75">
        <v>0</v>
      </c>
      <c r="T874" s="75">
        <v>0</v>
      </c>
      <c r="U874" s="253"/>
      <c r="V874" s="253"/>
      <c r="W874" s="44"/>
      <c r="X874" s="44"/>
      <c r="Y874" s="44"/>
      <c r="Z874" s="44"/>
      <c r="AA874" s="44"/>
      <c r="AB874" s="44"/>
      <c r="AC874" s="44"/>
      <c r="AD874" s="44"/>
      <c r="AE874" s="44"/>
      <c r="AF874" s="44"/>
      <c r="AG874" s="44"/>
      <c r="AH874" s="44"/>
      <c r="AI874" s="44"/>
    </row>
    <row r="875" spans="1:39" s="40" customFormat="1" ht="21.75" customHeight="1" x14ac:dyDescent="0.25">
      <c r="A875" s="25">
        <v>8</v>
      </c>
      <c r="B875" s="260" t="s">
        <v>776</v>
      </c>
      <c r="C875" s="75">
        <f t="shared" si="188"/>
        <v>5205156.33</v>
      </c>
      <c r="D875" s="75">
        <f t="shared" si="189"/>
        <v>5096099.8</v>
      </c>
      <c r="E875" s="261">
        <v>0</v>
      </c>
      <c r="F875" s="261">
        <v>3341529.4</v>
      </c>
      <c r="G875" s="261">
        <v>1403299.7</v>
      </c>
      <c r="H875" s="261">
        <v>351270.69999999995</v>
      </c>
      <c r="I875" s="263">
        <v>0</v>
      </c>
      <c r="J875" s="262">
        <v>0</v>
      </c>
      <c r="K875" s="261">
        <v>0</v>
      </c>
      <c r="L875" s="261">
        <v>0</v>
      </c>
      <c r="M875" s="261">
        <v>0</v>
      </c>
      <c r="N875" s="261">
        <v>0</v>
      </c>
      <c r="O875" s="261">
        <v>0</v>
      </c>
      <c r="P875" s="263">
        <v>0</v>
      </c>
      <c r="Q875" s="261">
        <v>0</v>
      </c>
      <c r="R875" s="261">
        <f>71508.73+30030.61+7517.19</f>
        <v>109056.53</v>
      </c>
      <c r="S875" s="261">
        <v>0</v>
      </c>
      <c r="T875" s="261">
        <v>0</v>
      </c>
      <c r="U875" s="253"/>
      <c r="V875" s="253"/>
    </row>
    <row r="876" spans="1:39" s="40" customFormat="1" ht="21.75" customHeight="1" x14ac:dyDescent="0.25">
      <c r="A876" s="326" t="s">
        <v>666</v>
      </c>
      <c r="B876" s="326"/>
      <c r="C876" s="118">
        <f t="shared" ref="C876:T876" si="190">C877</f>
        <v>671818.54999999993</v>
      </c>
      <c r="D876" s="118">
        <f t="shared" si="190"/>
        <v>657742.85</v>
      </c>
      <c r="E876" s="118">
        <f t="shared" si="190"/>
        <v>0</v>
      </c>
      <c r="F876" s="118">
        <f t="shared" si="190"/>
        <v>0</v>
      </c>
      <c r="G876" s="118">
        <f t="shared" si="190"/>
        <v>0</v>
      </c>
      <c r="H876" s="118">
        <f t="shared" si="190"/>
        <v>0</v>
      </c>
      <c r="I876" s="118">
        <f t="shared" si="190"/>
        <v>657742.85</v>
      </c>
      <c r="J876" s="119">
        <f t="shared" si="190"/>
        <v>0</v>
      </c>
      <c r="K876" s="118">
        <f t="shared" si="190"/>
        <v>0</v>
      </c>
      <c r="L876" s="118">
        <f t="shared" si="190"/>
        <v>0</v>
      </c>
      <c r="M876" s="118">
        <f t="shared" si="190"/>
        <v>0</v>
      </c>
      <c r="N876" s="118">
        <f t="shared" si="190"/>
        <v>0</v>
      </c>
      <c r="O876" s="118">
        <f t="shared" si="190"/>
        <v>0</v>
      </c>
      <c r="P876" s="118">
        <f t="shared" si="190"/>
        <v>0</v>
      </c>
      <c r="Q876" s="118">
        <f t="shared" si="190"/>
        <v>0</v>
      </c>
      <c r="R876" s="118">
        <f t="shared" si="190"/>
        <v>14075.7</v>
      </c>
      <c r="S876" s="118">
        <f t="shared" si="190"/>
        <v>0</v>
      </c>
      <c r="T876" s="118">
        <f t="shared" si="190"/>
        <v>0</v>
      </c>
      <c r="U876" s="238"/>
      <c r="V876" s="238"/>
      <c r="W876" s="186"/>
      <c r="X876" s="186"/>
      <c r="Y876" s="186"/>
      <c r="Z876" s="186"/>
      <c r="AA876" s="186"/>
      <c r="AB876" s="186"/>
      <c r="AC876" s="186"/>
      <c r="AD876" s="186"/>
      <c r="AE876" s="186"/>
      <c r="AF876" s="186"/>
      <c r="AG876" s="186"/>
      <c r="AH876" s="186"/>
      <c r="AI876" s="186"/>
      <c r="AJ876" s="186"/>
      <c r="AK876" s="186"/>
      <c r="AL876" s="186"/>
      <c r="AM876" s="186"/>
    </row>
    <row r="877" spans="1:39" s="40" customFormat="1" ht="21.75" customHeight="1" x14ac:dyDescent="0.25">
      <c r="A877" s="25">
        <v>1</v>
      </c>
      <c r="B877" s="282" t="s">
        <v>777</v>
      </c>
      <c r="C877" s="75">
        <f>D877+K877+L877+M877+N877+O877+P877+Q877+R877+S877+T877</f>
        <v>671818.54999999993</v>
      </c>
      <c r="D877" s="75">
        <f>SUM(E877:I877)</f>
        <v>657742.85</v>
      </c>
      <c r="E877" s="263">
        <v>0</v>
      </c>
      <c r="F877" s="261">
        <v>0</v>
      </c>
      <c r="G877" s="261">
        <v>0</v>
      </c>
      <c r="H877" s="263">
        <v>0</v>
      </c>
      <c r="I877" s="263">
        <v>657742.85</v>
      </c>
      <c r="J877" s="262">
        <v>0</v>
      </c>
      <c r="K877" s="261">
        <v>0</v>
      </c>
      <c r="L877" s="261">
        <v>0</v>
      </c>
      <c r="M877" s="261">
        <v>0</v>
      </c>
      <c r="N877" s="261">
        <v>0</v>
      </c>
      <c r="O877" s="261">
        <v>0</v>
      </c>
      <c r="P877" s="261">
        <v>0</v>
      </c>
      <c r="Q877" s="261">
        <v>0</v>
      </c>
      <c r="R877" s="261">
        <v>14075.7</v>
      </c>
      <c r="S877" s="261">
        <v>0</v>
      </c>
      <c r="T877" s="261">
        <v>0</v>
      </c>
      <c r="U877" s="238"/>
      <c r="V877" s="238"/>
      <c r="W877" s="186"/>
      <c r="X877" s="186"/>
      <c r="Y877" s="186"/>
      <c r="Z877" s="186"/>
      <c r="AA877" s="186"/>
      <c r="AB877" s="186"/>
      <c r="AC877" s="186"/>
      <c r="AD877" s="186"/>
      <c r="AE877" s="186"/>
      <c r="AF877" s="186"/>
      <c r="AG877" s="186"/>
      <c r="AH877" s="186"/>
      <c r="AI877" s="186"/>
      <c r="AJ877" s="186"/>
      <c r="AK877" s="186"/>
      <c r="AL877" s="186"/>
      <c r="AM877" s="186"/>
    </row>
    <row r="878" spans="1:39" s="186" customFormat="1" ht="21.75" customHeight="1" x14ac:dyDescent="0.25">
      <c r="A878" s="322" t="s">
        <v>363</v>
      </c>
      <c r="B878" s="322"/>
      <c r="C878" s="118">
        <f t="shared" ref="C878:T878" si="191">SUM(C879:C883)</f>
        <v>21229739.600000001</v>
      </c>
      <c r="D878" s="118">
        <f t="shared" si="191"/>
        <v>16335676.739999998</v>
      </c>
      <c r="E878" s="118">
        <f t="shared" si="191"/>
        <v>0</v>
      </c>
      <c r="F878" s="118">
        <f t="shared" si="191"/>
        <v>16335676.739999998</v>
      </c>
      <c r="G878" s="118">
        <f t="shared" si="191"/>
        <v>0</v>
      </c>
      <c r="H878" s="118">
        <f t="shared" si="191"/>
        <v>0</v>
      </c>
      <c r="I878" s="118">
        <f t="shared" si="191"/>
        <v>0</v>
      </c>
      <c r="J878" s="119">
        <f t="shared" si="191"/>
        <v>0</v>
      </c>
      <c r="K878" s="118">
        <f t="shared" si="191"/>
        <v>0</v>
      </c>
      <c r="L878" s="118">
        <f t="shared" si="191"/>
        <v>0</v>
      </c>
      <c r="M878" s="118">
        <f t="shared" si="191"/>
        <v>0</v>
      </c>
      <c r="N878" s="118">
        <f t="shared" si="191"/>
        <v>4412314.0199999996</v>
      </c>
      <c r="O878" s="118">
        <f t="shared" si="191"/>
        <v>0</v>
      </c>
      <c r="P878" s="118">
        <f t="shared" si="191"/>
        <v>0</v>
      </c>
      <c r="Q878" s="118">
        <f t="shared" si="191"/>
        <v>0</v>
      </c>
      <c r="R878" s="118">
        <f t="shared" si="191"/>
        <v>481748.83999999997</v>
      </c>
      <c r="S878" s="118">
        <f t="shared" si="191"/>
        <v>0</v>
      </c>
      <c r="T878" s="118">
        <f t="shared" si="191"/>
        <v>0</v>
      </c>
      <c r="U878" s="238"/>
      <c r="V878" s="238"/>
    </row>
    <row r="879" spans="1:39" s="40" customFormat="1" ht="21.75" customHeight="1" x14ac:dyDescent="0.25">
      <c r="A879" s="259">
        <v>1</v>
      </c>
      <c r="B879" s="260" t="s">
        <v>1376</v>
      </c>
      <c r="C879" s="75">
        <f t="shared" ref="C879:C883" si="192">D879+K879+L879+M879+N879+O879+P879+Q879+R879+S879+T879</f>
        <v>4544479.38</v>
      </c>
      <c r="D879" s="75">
        <f t="shared" ref="D879:D883" si="193">SUM(E879:I879)</f>
        <v>0</v>
      </c>
      <c r="E879" s="261">
        <v>0</v>
      </c>
      <c r="F879" s="263">
        <v>0</v>
      </c>
      <c r="G879" s="261">
        <v>0</v>
      </c>
      <c r="H879" s="261">
        <v>0</v>
      </c>
      <c r="I879" s="261">
        <v>0</v>
      </c>
      <c r="J879" s="262">
        <v>0</v>
      </c>
      <c r="K879" s="261">
        <v>0</v>
      </c>
      <c r="L879" s="261">
        <v>0</v>
      </c>
      <c r="M879" s="263">
        <v>0</v>
      </c>
      <c r="N879" s="261">
        <v>4412314.0199999996</v>
      </c>
      <c r="O879" s="263">
        <v>0</v>
      </c>
      <c r="P879" s="261">
        <v>0</v>
      </c>
      <c r="Q879" s="263">
        <v>0</v>
      </c>
      <c r="R879" s="261">
        <v>132165.35999999999</v>
      </c>
      <c r="S879" s="263">
        <v>0</v>
      </c>
      <c r="T879" s="261">
        <v>0</v>
      </c>
      <c r="U879" s="243"/>
      <c r="V879" s="243"/>
    </row>
    <row r="880" spans="1:39" s="40" customFormat="1" ht="21.75" customHeight="1" x14ac:dyDescent="0.25">
      <c r="A880" s="259">
        <v>2</v>
      </c>
      <c r="B880" s="260" t="s">
        <v>675</v>
      </c>
      <c r="C880" s="75">
        <f t="shared" si="192"/>
        <v>6279427.4099999992</v>
      </c>
      <c r="D880" s="75">
        <f t="shared" si="193"/>
        <v>6147863.1399999997</v>
      </c>
      <c r="E880" s="261">
        <v>0</v>
      </c>
      <c r="F880" s="263">
        <v>6147863.1399999997</v>
      </c>
      <c r="G880" s="261">
        <v>0</v>
      </c>
      <c r="H880" s="261">
        <v>0</v>
      </c>
      <c r="I880" s="261">
        <v>0</v>
      </c>
      <c r="J880" s="262">
        <v>0</v>
      </c>
      <c r="K880" s="261">
        <v>0</v>
      </c>
      <c r="L880" s="261">
        <v>0</v>
      </c>
      <c r="M880" s="261">
        <v>0</v>
      </c>
      <c r="N880" s="263">
        <v>0</v>
      </c>
      <c r="O880" s="263">
        <v>0</v>
      </c>
      <c r="P880" s="263">
        <v>0</v>
      </c>
      <c r="Q880" s="261">
        <v>0</v>
      </c>
      <c r="R880" s="261">
        <v>131564.26999999999</v>
      </c>
      <c r="S880" s="261">
        <v>0</v>
      </c>
      <c r="T880" s="261">
        <v>0</v>
      </c>
      <c r="U880" s="238"/>
      <c r="V880" s="238"/>
    </row>
    <row r="881" spans="1:39" s="40" customFormat="1" ht="21.75" customHeight="1" x14ac:dyDescent="0.25">
      <c r="A881" s="259">
        <v>3</v>
      </c>
      <c r="B881" s="260" t="s">
        <v>374</v>
      </c>
      <c r="C881" s="75">
        <f t="shared" si="192"/>
        <v>1719343.56</v>
      </c>
      <c r="D881" s="75">
        <f t="shared" si="193"/>
        <v>1683320.5</v>
      </c>
      <c r="E881" s="261">
        <v>0</v>
      </c>
      <c r="F881" s="263">
        <v>1683320.5</v>
      </c>
      <c r="G881" s="261">
        <v>0</v>
      </c>
      <c r="H881" s="261">
        <v>0</v>
      </c>
      <c r="I881" s="261">
        <v>0</v>
      </c>
      <c r="J881" s="262">
        <v>0</v>
      </c>
      <c r="K881" s="261">
        <v>0</v>
      </c>
      <c r="L881" s="261">
        <v>0</v>
      </c>
      <c r="M881" s="261">
        <v>0</v>
      </c>
      <c r="N881" s="263">
        <v>0</v>
      </c>
      <c r="O881" s="263">
        <v>0</v>
      </c>
      <c r="P881" s="263">
        <v>0</v>
      </c>
      <c r="Q881" s="261">
        <v>0</v>
      </c>
      <c r="R881" s="261">
        <v>36023.06</v>
      </c>
      <c r="S881" s="261">
        <v>0</v>
      </c>
      <c r="T881" s="261">
        <v>0</v>
      </c>
      <c r="U881" s="238"/>
      <c r="V881" s="238"/>
      <c r="W881" s="186"/>
      <c r="X881" s="186"/>
      <c r="Y881" s="186"/>
      <c r="Z881" s="186"/>
      <c r="AA881" s="186"/>
      <c r="AB881" s="186"/>
      <c r="AC881" s="186"/>
      <c r="AD881" s="186"/>
      <c r="AE881" s="186"/>
      <c r="AF881" s="186"/>
      <c r="AG881" s="186"/>
      <c r="AH881" s="186"/>
      <c r="AI881" s="186"/>
      <c r="AJ881" s="186"/>
      <c r="AK881" s="186"/>
      <c r="AL881" s="186"/>
      <c r="AM881" s="186"/>
    </row>
    <row r="882" spans="1:39" s="40" customFormat="1" ht="21.75" customHeight="1" x14ac:dyDescent="0.25">
      <c r="A882" s="259">
        <v>4</v>
      </c>
      <c r="B882" s="260" t="s">
        <v>376</v>
      </c>
      <c r="C882" s="75">
        <f t="shared" si="192"/>
        <v>1851627.2600000002</v>
      </c>
      <c r="D882" s="75">
        <f t="shared" si="193"/>
        <v>1812832.6400000001</v>
      </c>
      <c r="E882" s="261">
        <v>0</v>
      </c>
      <c r="F882" s="263">
        <v>1812832.6400000001</v>
      </c>
      <c r="G882" s="261">
        <v>0</v>
      </c>
      <c r="H882" s="261">
        <v>0</v>
      </c>
      <c r="I882" s="261">
        <v>0</v>
      </c>
      <c r="J882" s="262">
        <v>0</v>
      </c>
      <c r="K882" s="261">
        <v>0</v>
      </c>
      <c r="L882" s="261">
        <v>0</v>
      </c>
      <c r="M882" s="261">
        <v>0</v>
      </c>
      <c r="N882" s="263">
        <v>0</v>
      </c>
      <c r="O882" s="263">
        <v>0</v>
      </c>
      <c r="P882" s="263">
        <v>0</v>
      </c>
      <c r="Q882" s="261">
        <v>0</v>
      </c>
      <c r="R882" s="261">
        <v>38794.620000000003</v>
      </c>
      <c r="S882" s="261">
        <v>0</v>
      </c>
      <c r="T882" s="261">
        <v>0</v>
      </c>
      <c r="U882" s="238"/>
      <c r="V882" s="238"/>
      <c r="W882" s="186"/>
      <c r="X882" s="186"/>
      <c r="Y882" s="186"/>
      <c r="Z882" s="186"/>
      <c r="AA882" s="186"/>
      <c r="AB882" s="186"/>
      <c r="AC882" s="186"/>
      <c r="AD882" s="186"/>
      <c r="AE882" s="186"/>
      <c r="AF882" s="186"/>
      <c r="AG882" s="186"/>
      <c r="AH882" s="186"/>
      <c r="AI882" s="186"/>
      <c r="AJ882" s="186"/>
      <c r="AK882" s="186"/>
      <c r="AL882" s="186"/>
      <c r="AM882" s="186"/>
    </row>
    <row r="883" spans="1:39" s="40" customFormat="1" ht="21.75" customHeight="1" x14ac:dyDescent="0.25">
      <c r="A883" s="259">
        <v>5</v>
      </c>
      <c r="B883" s="260" t="s">
        <v>676</v>
      </c>
      <c r="C883" s="75">
        <f t="shared" si="192"/>
        <v>6834861.9900000002</v>
      </c>
      <c r="D883" s="75">
        <f t="shared" si="193"/>
        <v>6691660.46</v>
      </c>
      <c r="E883" s="263">
        <v>0</v>
      </c>
      <c r="F883" s="263">
        <v>6691660.46</v>
      </c>
      <c r="G883" s="261">
        <v>0</v>
      </c>
      <c r="H883" s="261">
        <v>0</v>
      </c>
      <c r="I883" s="263">
        <v>0</v>
      </c>
      <c r="J883" s="262">
        <v>0</v>
      </c>
      <c r="K883" s="261">
        <v>0</v>
      </c>
      <c r="L883" s="261">
        <v>0</v>
      </c>
      <c r="M883" s="261">
        <v>0</v>
      </c>
      <c r="N883" s="261">
        <v>0</v>
      </c>
      <c r="O883" s="261">
        <v>0</v>
      </c>
      <c r="P883" s="263">
        <v>0</v>
      </c>
      <c r="Q883" s="261">
        <v>0</v>
      </c>
      <c r="R883" s="261">
        <v>143201.53</v>
      </c>
      <c r="S883" s="261">
        <v>0</v>
      </c>
      <c r="T883" s="261">
        <v>0</v>
      </c>
      <c r="U883" s="243"/>
      <c r="V883" s="243"/>
    </row>
    <row r="884" spans="1:39" s="186" customFormat="1" ht="21.75" customHeight="1" x14ac:dyDescent="0.25">
      <c r="A884" s="322" t="s">
        <v>412</v>
      </c>
      <c r="B884" s="322"/>
      <c r="C884" s="118">
        <f t="shared" ref="C884:T884" si="194">SUM(C885:C890)</f>
        <v>44705346.509999998</v>
      </c>
      <c r="D884" s="118">
        <f t="shared" si="194"/>
        <v>4057685.73</v>
      </c>
      <c r="E884" s="118">
        <f t="shared" si="194"/>
        <v>0</v>
      </c>
      <c r="F884" s="118">
        <f t="shared" si="194"/>
        <v>3564340.51</v>
      </c>
      <c r="G884" s="118">
        <f t="shared" si="194"/>
        <v>0</v>
      </c>
      <c r="H884" s="118">
        <f t="shared" si="194"/>
        <v>250049.03</v>
      </c>
      <c r="I884" s="118">
        <f t="shared" si="194"/>
        <v>243296.19</v>
      </c>
      <c r="J884" s="119">
        <f t="shared" si="194"/>
        <v>0</v>
      </c>
      <c r="K884" s="118">
        <f t="shared" si="194"/>
        <v>0</v>
      </c>
      <c r="L884" s="118">
        <f t="shared" si="194"/>
        <v>26513069.599999998</v>
      </c>
      <c r="M884" s="118">
        <f t="shared" si="194"/>
        <v>0</v>
      </c>
      <c r="N884" s="118">
        <f t="shared" si="194"/>
        <v>12784946.9</v>
      </c>
      <c r="O884" s="118">
        <f t="shared" si="194"/>
        <v>0</v>
      </c>
      <c r="P884" s="118">
        <f t="shared" si="194"/>
        <v>350382</v>
      </c>
      <c r="Q884" s="118">
        <f t="shared" si="194"/>
        <v>0</v>
      </c>
      <c r="R884" s="118">
        <f t="shared" si="194"/>
        <v>999262.28</v>
      </c>
      <c r="S884" s="118">
        <f t="shared" si="194"/>
        <v>0</v>
      </c>
      <c r="T884" s="118">
        <f t="shared" si="194"/>
        <v>0</v>
      </c>
      <c r="U884" s="238"/>
      <c r="V884" s="238"/>
    </row>
    <row r="885" spans="1:39" s="40" customFormat="1" ht="21.75" customHeight="1" x14ac:dyDescent="0.25">
      <c r="A885" s="259">
        <v>1</v>
      </c>
      <c r="B885" s="283" t="s">
        <v>413</v>
      </c>
      <c r="C885" s="75">
        <f t="shared" ref="C885:C890" si="195">D885+K885+L885+M885+N885+O885+P885+Q885+R885+S885+T885</f>
        <v>14774939.74</v>
      </c>
      <c r="D885" s="75">
        <f t="shared" ref="D885:D890" si="196">SUM(E885:I885)</f>
        <v>0</v>
      </c>
      <c r="E885" s="284">
        <v>0</v>
      </c>
      <c r="F885" s="284">
        <v>0</v>
      </c>
      <c r="G885" s="285">
        <v>0</v>
      </c>
      <c r="H885" s="284">
        <v>0</v>
      </c>
      <c r="I885" s="285">
        <v>0</v>
      </c>
      <c r="J885" s="286">
        <v>0</v>
      </c>
      <c r="K885" s="284">
        <v>0</v>
      </c>
      <c r="L885" s="284">
        <v>14465380.6</v>
      </c>
      <c r="M885" s="285">
        <v>0</v>
      </c>
      <c r="N885" s="285">
        <v>0</v>
      </c>
      <c r="O885" s="285">
        <v>0</v>
      </c>
      <c r="P885" s="284">
        <v>0</v>
      </c>
      <c r="Q885" s="285">
        <v>0</v>
      </c>
      <c r="R885" s="285">
        <v>309559.14</v>
      </c>
      <c r="S885" s="285">
        <v>0</v>
      </c>
      <c r="T885" s="285">
        <v>0</v>
      </c>
      <c r="U885" s="243"/>
      <c r="V885" s="243"/>
    </row>
    <row r="886" spans="1:39" s="40" customFormat="1" ht="21.75" customHeight="1" x14ac:dyDescent="0.25">
      <c r="A886" s="259">
        <v>2</v>
      </c>
      <c r="B886" s="283" t="s">
        <v>1377</v>
      </c>
      <c r="C886" s="75">
        <f t="shared" si="195"/>
        <v>350382</v>
      </c>
      <c r="D886" s="75">
        <f t="shared" si="196"/>
        <v>0</v>
      </c>
      <c r="E886" s="284">
        <v>0</v>
      </c>
      <c r="F886" s="284">
        <v>0</v>
      </c>
      <c r="G886" s="285">
        <v>0</v>
      </c>
      <c r="H886" s="284">
        <v>0</v>
      </c>
      <c r="I886" s="285">
        <v>0</v>
      </c>
      <c r="J886" s="286">
        <v>0</v>
      </c>
      <c r="K886" s="284">
        <v>0</v>
      </c>
      <c r="L886" s="284">
        <v>0</v>
      </c>
      <c r="M886" s="285">
        <v>0</v>
      </c>
      <c r="N886" s="285">
        <v>0</v>
      </c>
      <c r="O886" s="285">
        <v>0</v>
      </c>
      <c r="P886" s="284">
        <v>350382</v>
      </c>
      <c r="Q886" s="285">
        <v>0</v>
      </c>
      <c r="R886" s="285">
        <v>0</v>
      </c>
      <c r="S886" s="285">
        <v>0</v>
      </c>
      <c r="T886" s="285">
        <v>0</v>
      </c>
      <c r="U886" s="243"/>
      <c r="V886" s="243"/>
    </row>
    <row r="887" spans="1:39" s="40" customFormat="1" ht="21.75" customHeight="1" x14ac:dyDescent="0.25">
      <c r="A887" s="259">
        <v>3</v>
      </c>
      <c r="B887" s="282" t="s">
        <v>419</v>
      </c>
      <c r="C887" s="75">
        <f t="shared" si="195"/>
        <v>12068295.309999999</v>
      </c>
      <c r="D887" s="75">
        <f t="shared" si="196"/>
        <v>1825211.5</v>
      </c>
      <c r="E887" s="263">
        <v>0</v>
      </c>
      <c r="F887" s="263">
        <v>1825211.5</v>
      </c>
      <c r="G887" s="261">
        <v>0</v>
      </c>
      <c r="H887" s="263">
        <v>0</v>
      </c>
      <c r="I887" s="261">
        <v>0</v>
      </c>
      <c r="J887" s="262">
        <v>0</v>
      </c>
      <c r="K887" s="263">
        <v>0</v>
      </c>
      <c r="L887" s="263">
        <v>4434176.3899999997</v>
      </c>
      <c r="M887" s="261">
        <v>0</v>
      </c>
      <c r="N887" s="261">
        <v>5556056.9000000004</v>
      </c>
      <c r="O887" s="261">
        <v>0</v>
      </c>
      <c r="P887" s="263">
        <v>0</v>
      </c>
      <c r="Q887" s="261">
        <v>0</v>
      </c>
      <c r="R887" s="261">
        <v>252850.52</v>
      </c>
      <c r="S887" s="261">
        <v>0</v>
      </c>
      <c r="T887" s="261">
        <v>0</v>
      </c>
      <c r="U887" s="239"/>
      <c r="V887" s="239"/>
    </row>
    <row r="888" spans="1:39" s="40" customFormat="1" ht="21.75" customHeight="1" x14ac:dyDescent="0.25">
      <c r="A888" s="259">
        <v>4</v>
      </c>
      <c r="B888" s="283" t="s">
        <v>427</v>
      </c>
      <c r="C888" s="75">
        <f t="shared" si="195"/>
        <v>7383588.25</v>
      </c>
      <c r="D888" s="75">
        <f t="shared" si="196"/>
        <v>0</v>
      </c>
      <c r="E888" s="284">
        <v>0</v>
      </c>
      <c r="F888" s="284">
        <v>0</v>
      </c>
      <c r="G888" s="284">
        <v>0</v>
      </c>
      <c r="H888" s="284">
        <v>0</v>
      </c>
      <c r="I888" s="284">
        <v>0</v>
      </c>
      <c r="J888" s="286">
        <v>0</v>
      </c>
      <c r="K888" s="285">
        <v>0</v>
      </c>
      <c r="L888" s="285">
        <v>0</v>
      </c>
      <c r="M888" s="285">
        <v>0</v>
      </c>
      <c r="N888" s="285">
        <v>7228890</v>
      </c>
      <c r="O888" s="285">
        <v>0</v>
      </c>
      <c r="P888" s="284">
        <v>0</v>
      </c>
      <c r="Q888" s="285">
        <v>0</v>
      </c>
      <c r="R888" s="285">
        <v>154698.25</v>
      </c>
      <c r="S888" s="285">
        <v>0</v>
      </c>
      <c r="T888" s="285">
        <v>0</v>
      </c>
      <c r="U888" s="243"/>
      <c r="V888" s="243"/>
    </row>
    <row r="889" spans="1:39" s="40" customFormat="1" ht="21.75" customHeight="1" x14ac:dyDescent="0.25">
      <c r="A889" s="259">
        <v>5</v>
      </c>
      <c r="B889" s="283" t="s">
        <v>1378</v>
      </c>
      <c r="C889" s="75">
        <f t="shared" si="195"/>
        <v>7783441.7800000003</v>
      </c>
      <c r="D889" s="75">
        <f t="shared" si="196"/>
        <v>0</v>
      </c>
      <c r="E889" s="284">
        <v>0</v>
      </c>
      <c r="F889" s="284">
        <v>0</v>
      </c>
      <c r="G889" s="285">
        <v>0</v>
      </c>
      <c r="H889" s="284">
        <v>0</v>
      </c>
      <c r="I889" s="285">
        <v>0</v>
      </c>
      <c r="J889" s="286">
        <v>0</v>
      </c>
      <c r="K889" s="285">
        <v>0</v>
      </c>
      <c r="L889" s="284">
        <v>7613512.6100000003</v>
      </c>
      <c r="M889" s="285">
        <v>0</v>
      </c>
      <c r="N889" s="284">
        <v>0</v>
      </c>
      <c r="O889" s="285">
        <v>0</v>
      </c>
      <c r="P889" s="284">
        <v>0</v>
      </c>
      <c r="Q889" s="285">
        <v>0</v>
      </c>
      <c r="R889" s="285">
        <v>169929.17</v>
      </c>
      <c r="S889" s="285">
        <v>0</v>
      </c>
      <c r="T889" s="285">
        <v>0</v>
      </c>
      <c r="U889" s="243"/>
      <c r="V889" s="243"/>
    </row>
    <row r="890" spans="1:39" s="40" customFormat="1" ht="21.75" customHeight="1" x14ac:dyDescent="0.25">
      <c r="A890" s="259">
        <v>6</v>
      </c>
      <c r="B890" s="283" t="s">
        <v>779</v>
      </c>
      <c r="C890" s="75">
        <f t="shared" si="195"/>
        <v>2344699.4300000002</v>
      </c>
      <c r="D890" s="75">
        <f t="shared" si="196"/>
        <v>2232474.23</v>
      </c>
      <c r="E890" s="284">
        <v>0</v>
      </c>
      <c r="F890" s="284">
        <v>1739129.01</v>
      </c>
      <c r="G890" s="285">
        <v>0</v>
      </c>
      <c r="H890" s="284">
        <v>250049.03</v>
      </c>
      <c r="I890" s="285">
        <v>243296.19</v>
      </c>
      <c r="J890" s="286">
        <v>0</v>
      </c>
      <c r="K890" s="284">
        <v>0</v>
      </c>
      <c r="L890" s="285">
        <v>0</v>
      </c>
      <c r="M890" s="285">
        <v>0</v>
      </c>
      <c r="N890" s="285">
        <v>0</v>
      </c>
      <c r="O890" s="285">
        <v>0</v>
      </c>
      <c r="P890" s="284">
        <v>0</v>
      </c>
      <c r="Q890" s="285">
        <v>0</v>
      </c>
      <c r="R890" s="285">
        <f>30778.48+68392.2+13054.52</f>
        <v>112225.2</v>
      </c>
      <c r="S890" s="285">
        <v>0</v>
      </c>
      <c r="T890" s="285">
        <v>0</v>
      </c>
      <c r="U890" s="238"/>
      <c r="V890" s="238"/>
    </row>
    <row r="891" spans="1:39" s="186" customFormat="1" ht="21.75" customHeight="1" x14ac:dyDescent="0.25">
      <c r="A891" s="322" t="s">
        <v>430</v>
      </c>
      <c r="B891" s="322"/>
      <c r="C891" s="118">
        <f t="shared" ref="C891:T891" si="197">SUM(C892:C895)</f>
        <v>23241981.200000003</v>
      </c>
      <c r="D891" s="118">
        <f t="shared" si="197"/>
        <v>6580864.9900000002</v>
      </c>
      <c r="E891" s="118">
        <f t="shared" si="197"/>
        <v>2133890.9900000002</v>
      </c>
      <c r="F891" s="118">
        <f t="shared" si="197"/>
        <v>4446974</v>
      </c>
      <c r="G891" s="118">
        <f t="shared" si="197"/>
        <v>0</v>
      </c>
      <c r="H891" s="118">
        <f t="shared" si="197"/>
        <v>0</v>
      </c>
      <c r="I891" s="118">
        <f t="shared" si="197"/>
        <v>0</v>
      </c>
      <c r="J891" s="119">
        <f t="shared" si="197"/>
        <v>0</v>
      </c>
      <c r="K891" s="118">
        <f t="shared" si="197"/>
        <v>0</v>
      </c>
      <c r="L891" s="118">
        <f t="shared" si="197"/>
        <v>14353953.120000001</v>
      </c>
      <c r="M891" s="118">
        <f t="shared" si="197"/>
        <v>0</v>
      </c>
      <c r="N891" s="118">
        <f t="shared" si="197"/>
        <v>0</v>
      </c>
      <c r="O891" s="118">
        <f t="shared" si="197"/>
        <v>0</v>
      </c>
      <c r="P891" s="118">
        <f t="shared" si="197"/>
        <v>1859158</v>
      </c>
      <c r="Q891" s="118">
        <f t="shared" si="197"/>
        <v>0</v>
      </c>
      <c r="R891" s="118">
        <f t="shared" si="197"/>
        <v>448005.09</v>
      </c>
      <c r="S891" s="118">
        <f t="shared" si="197"/>
        <v>0</v>
      </c>
      <c r="T891" s="118">
        <f t="shared" si="197"/>
        <v>0</v>
      </c>
      <c r="U891" s="238"/>
      <c r="V891" s="238"/>
    </row>
    <row r="892" spans="1:39" s="186" customFormat="1" ht="21.75" customHeight="1" x14ac:dyDescent="0.25">
      <c r="A892" s="25">
        <v>1</v>
      </c>
      <c r="B892" s="37" t="s">
        <v>1379</v>
      </c>
      <c r="C892" s="75">
        <f t="shared" ref="C892:C895" si="198">D892+K892+L892+M892+N892+O892+P892+Q892+R892+S892+T892</f>
        <v>11569474.16</v>
      </c>
      <c r="D892" s="75">
        <f t="shared" ref="D892:D895" si="199">SUM(E892:I892)</f>
        <v>1307187.07</v>
      </c>
      <c r="E892" s="75">
        <v>1307187.07</v>
      </c>
      <c r="F892" s="75">
        <v>0</v>
      </c>
      <c r="G892" s="75">
        <v>0</v>
      </c>
      <c r="H892" s="75">
        <v>0</v>
      </c>
      <c r="I892" s="75">
        <v>0</v>
      </c>
      <c r="J892" s="152">
        <v>0</v>
      </c>
      <c r="K892" s="75">
        <v>0</v>
      </c>
      <c r="L892" s="87">
        <v>8719740.8399999999</v>
      </c>
      <c r="M892" s="75">
        <v>0</v>
      </c>
      <c r="N892" s="75">
        <v>0</v>
      </c>
      <c r="O892" s="75">
        <v>0</v>
      </c>
      <c r="P892" s="87">
        <f>265594+265594+265594+265594+265594</f>
        <v>1327970</v>
      </c>
      <c r="Q892" s="75">
        <v>0</v>
      </c>
      <c r="R892" s="75">
        <f>186602.45+27973.8</f>
        <v>214576.25</v>
      </c>
      <c r="S892" s="75">
        <v>0</v>
      </c>
      <c r="T892" s="75">
        <v>0</v>
      </c>
      <c r="U892" s="239"/>
      <c r="V892" s="239"/>
      <c r="W892" s="44"/>
      <c r="X892" s="44"/>
      <c r="Y892" s="44"/>
      <c r="Z892" s="44"/>
      <c r="AA892" s="44"/>
      <c r="AB892" s="44"/>
      <c r="AC892" s="44"/>
      <c r="AD892" s="44"/>
      <c r="AE892" s="44"/>
      <c r="AF892" s="44"/>
      <c r="AG892" s="44"/>
      <c r="AH892" s="44"/>
      <c r="AI892" s="44"/>
    </row>
    <row r="893" spans="1:39" s="186" customFormat="1" ht="21.75" customHeight="1" x14ac:dyDescent="0.25">
      <c r="A893" s="25">
        <v>2</v>
      </c>
      <c r="B893" s="37" t="s">
        <v>1380</v>
      </c>
      <c r="C893" s="75">
        <f t="shared" si="198"/>
        <v>1109989.3799999999</v>
      </c>
      <c r="D893" s="75">
        <f t="shared" si="199"/>
        <v>826703.92</v>
      </c>
      <c r="E893" s="75">
        <v>826703.92</v>
      </c>
      <c r="F893" s="75">
        <v>0</v>
      </c>
      <c r="G893" s="75">
        <v>0</v>
      </c>
      <c r="H893" s="75">
        <v>0</v>
      </c>
      <c r="I893" s="75">
        <v>0</v>
      </c>
      <c r="J893" s="152">
        <v>0</v>
      </c>
      <c r="K893" s="75">
        <v>0</v>
      </c>
      <c r="L893" s="87">
        <v>0</v>
      </c>
      <c r="M893" s="75">
        <v>0</v>
      </c>
      <c r="N893" s="75">
        <v>0</v>
      </c>
      <c r="O893" s="75">
        <v>0</v>
      </c>
      <c r="P893" s="87">
        <v>265594</v>
      </c>
      <c r="Q893" s="75">
        <v>0</v>
      </c>
      <c r="R893" s="75">
        <v>17691.46</v>
      </c>
      <c r="S893" s="75">
        <v>0</v>
      </c>
      <c r="T893" s="75">
        <v>0</v>
      </c>
      <c r="U893" s="239"/>
      <c r="V893" s="239"/>
      <c r="W893" s="44"/>
      <c r="X893" s="44"/>
      <c r="Y893" s="44"/>
      <c r="Z893" s="44"/>
      <c r="AA893" s="44"/>
      <c r="AB893" s="44"/>
      <c r="AC893" s="44"/>
      <c r="AD893" s="44"/>
      <c r="AE893" s="44"/>
      <c r="AF893" s="44"/>
      <c r="AG893" s="44"/>
      <c r="AH893" s="44"/>
      <c r="AI893" s="44"/>
      <c r="AJ893" s="44"/>
      <c r="AK893" s="44"/>
      <c r="AL893" s="44"/>
      <c r="AM893" s="44"/>
    </row>
    <row r="894" spans="1:39" s="40" customFormat="1" ht="21.75" customHeight="1" x14ac:dyDescent="0.25">
      <c r="A894" s="259">
        <v>3</v>
      </c>
      <c r="B894" s="260" t="s">
        <v>688</v>
      </c>
      <c r="C894" s="75">
        <f t="shared" si="198"/>
        <v>4542139.24</v>
      </c>
      <c r="D894" s="75">
        <f t="shared" si="199"/>
        <v>4446974</v>
      </c>
      <c r="E894" s="263">
        <v>0</v>
      </c>
      <c r="F894" s="263">
        <v>4446974</v>
      </c>
      <c r="G894" s="261">
        <v>0</v>
      </c>
      <c r="H894" s="263">
        <v>0</v>
      </c>
      <c r="I894" s="261">
        <v>0</v>
      </c>
      <c r="J894" s="262">
        <v>0</v>
      </c>
      <c r="K894" s="261">
        <v>0</v>
      </c>
      <c r="L894" s="261">
        <v>0</v>
      </c>
      <c r="M894" s="261">
        <v>0</v>
      </c>
      <c r="N894" s="261">
        <v>0</v>
      </c>
      <c r="O894" s="261">
        <v>0</v>
      </c>
      <c r="P894" s="261">
        <v>0</v>
      </c>
      <c r="Q894" s="261">
        <v>0</v>
      </c>
      <c r="R894" s="261">
        <v>95165.24</v>
      </c>
      <c r="S894" s="261">
        <v>0</v>
      </c>
      <c r="T894" s="261">
        <v>0</v>
      </c>
      <c r="U894" s="243"/>
      <c r="V894" s="243"/>
    </row>
    <row r="895" spans="1:39" s="40" customFormat="1" ht="21.75" customHeight="1" x14ac:dyDescent="0.25">
      <c r="A895" s="259">
        <v>4</v>
      </c>
      <c r="B895" s="260" t="s">
        <v>1381</v>
      </c>
      <c r="C895" s="75">
        <f t="shared" si="198"/>
        <v>6020378.4199999999</v>
      </c>
      <c r="D895" s="75">
        <f t="shared" si="199"/>
        <v>0</v>
      </c>
      <c r="E895" s="261">
        <v>0</v>
      </c>
      <c r="F895" s="261">
        <v>0</v>
      </c>
      <c r="G895" s="261">
        <v>0</v>
      </c>
      <c r="H895" s="261">
        <v>0</v>
      </c>
      <c r="I895" s="261">
        <v>0</v>
      </c>
      <c r="J895" s="262">
        <v>0</v>
      </c>
      <c r="K895" s="261">
        <v>0</v>
      </c>
      <c r="L895" s="263">
        <v>5634212.2800000003</v>
      </c>
      <c r="M895" s="261">
        <v>0</v>
      </c>
      <c r="N895" s="261">
        <v>0</v>
      </c>
      <c r="O895" s="261">
        <v>0</v>
      </c>
      <c r="P895" s="263">
        <v>265594</v>
      </c>
      <c r="Q895" s="261">
        <v>0</v>
      </c>
      <c r="R895" s="261">
        <v>120572.14</v>
      </c>
      <c r="S895" s="261">
        <v>0</v>
      </c>
      <c r="T895" s="261">
        <v>0</v>
      </c>
      <c r="U895" s="239"/>
      <c r="V895" s="239"/>
      <c r="W895" s="44"/>
      <c r="X895" s="44"/>
      <c r="Y895" s="44"/>
      <c r="Z895" s="44"/>
      <c r="AA895" s="44"/>
      <c r="AB895" s="44"/>
      <c r="AC895" s="44"/>
      <c r="AD895" s="44"/>
      <c r="AE895" s="44"/>
      <c r="AF895" s="44"/>
      <c r="AG895" s="44"/>
      <c r="AH895" s="44"/>
      <c r="AI895" s="44"/>
    </row>
    <row r="896" spans="1:39" s="186" customFormat="1" ht="21.75" customHeight="1" x14ac:dyDescent="0.25">
      <c r="A896" s="322" t="s">
        <v>436</v>
      </c>
      <c r="B896" s="322"/>
      <c r="C896" s="118">
        <f t="shared" ref="C896:T896" si="200">SUM(C897:C899)</f>
        <v>27271196</v>
      </c>
      <c r="D896" s="118">
        <f t="shared" si="200"/>
        <v>5073965.37</v>
      </c>
      <c r="E896" s="118">
        <f t="shared" si="200"/>
        <v>0</v>
      </c>
      <c r="F896" s="118">
        <f t="shared" si="200"/>
        <v>0</v>
      </c>
      <c r="G896" s="118">
        <f t="shared" si="200"/>
        <v>4580309.97</v>
      </c>
      <c r="H896" s="118">
        <f t="shared" si="200"/>
        <v>166257</v>
      </c>
      <c r="I896" s="118">
        <f t="shared" si="200"/>
        <v>327398.40000000002</v>
      </c>
      <c r="J896" s="119">
        <f t="shared" si="200"/>
        <v>0</v>
      </c>
      <c r="K896" s="118">
        <f t="shared" si="200"/>
        <v>0</v>
      </c>
      <c r="L896" s="118">
        <f t="shared" si="200"/>
        <v>0</v>
      </c>
      <c r="M896" s="118">
        <f t="shared" si="200"/>
        <v>0</v>
      </c>
      <c r="N896" s="118">
        <f t="shared" si="200"/>
        <v>0</v>
      </c>
      <c r="O896" s="118">
        <f t="shared" si="200"/>
        <v>0</v>
      </c>
      <c r="P896" s="118">
        <f t="shared" si="200"/>
        <v>700764</v>
      </c>
      <c r="Q896" s="118">
        <f t="shared" si="200"/>
        <v>0</v>
      </c>
      <c r="R896" s="118">
        <f t="shared" si="200"/>
        <v>584621.92999999993</v>
      </c>
      <c r="S896" s="118">
        <f t="shared" si="200"/>
        <v>20911844.699999999</v>
      </c>
      <c r="T896" s="118">
        <f t="shared" si="200"/>
        <v>0</v>
      </c>
      <c r="U896" s="238"/>
      <c r="V896" s="238"/>
    </row>
    <row r="897" spans="1:39" s="40" customFormat="1" ht="21.75" customHeight="1" x14ac:dyDescent="0.25">
      <c r="A897" s="259">
        <v>1</v>
      </c>
      <c r="B897" s="260" t="s">
        <v>689</v>
      </c>
      <c r="C897" s="75">
        <f t="shared" ref="C897:C899" si="201">D897+K897+L897+M897+N897+O897+P897+Q897+R897+S897+T897</f>
        <v>504219.63</v>
      </c>
      <c r="D897" s="75">
        <f t="shared" ref="D897:D899" si="202">SUM(E897:I897)</f>
        <v>493655.4</v>
      </c>
      <c r="E897" s="261">
        <v>0</v>
      </c>
      <c r="F897" s="261">
        <v>0</v>
      </c>
      <c r="G897" s="261">
        <v>0</v>
      </c>
      <c r="H897" s="261">
        <v>166257</v>
      </c>
      <c r="I897" s="261">
        <v>327398.40000000002</v>
      </c>
      <c r="J897" s="262">
        <v>0</v>
      </c>
      <c r="K897" s="261">
        <v>0</v>
      </c>
      <c r="L897" s="261">
        <v>0</v>
      </c>
      <c r="M897" s="261">
        <v>0</v>
      </c>
      <c r="N897" s="261">
        <v>0</v>
      </c>
      <c r="O897" s="261">
        <v>0</v>
      </c>
      <c r="P897" s="263">
        <v>0</v>
      </c>
      <c r="Q897" s="261">
        <v>0</v>
      </c>
      <c r="R897" s="261">
        <f>7006.33+3557.9</f>
        <v>10564.23</v>
      </c>
      <c r="S897" s="261">
        <v>0</v>
      </c>
      <c r="T897" s="261">
        <v>0</v>
      </c>
      <c r="U897" s="253"/>
      <c r="V897" s="253"/>
    </row>
    <row r="898" spans="1:39" s="40" customFormat="1" ht="21.75" customHeight="1" x14ac:dyDescent="0.25">
      <c r="A898" s="259">
        <v>2</v>
      </c>
      <c r="B898" s="260" t="s">
        <v>442</v>
      </c>
      <c r="C898" s="75">
        <f t="shared" si="201"/>
        <v>1721626.9100000001</v>
      </c>
      <c r="D898" s="75">
        <f t="shared" si="202"/>
        <v>1657628.07</v>
      </c>
      <c r="E898" s="261">
        <v>0</v>
      </c>
      <c r="F898" s="261">
        <v>0</v>
      </c>
      <c r="G898" s="261">
        <v>1657628.07</v>
      </c>
      <c r="H898" s="261">
        <v>0</v>
      </c>
      <c r="I898" s="261">
        <v>0</v>
      </c>
      <c r="J898" s="262">
        <v>0</v>
      </c>
      <c r="K898" s="261">
        <v>0</v>
      </c>
      <c r="L898" s="261">
        <v>0</v>
      </c>
      <c r="M898" s="261">
        <v>0</v>
      </c>
      <c r="N898" s="261">
        <v>0</v>
      </c>
      <c r="O898" s="261">
        <v>0</v>
      </c>
      <c r="P898" s="263">
        <v>0</v>
      </c>
      <c r="Q898" s="261">
        <v>0</v>
      </c>
      <c r="R898" s="261">
        <v>63998.84</v>
      </c>
      <c r="S898" s="261">
        <v>0</v>
      </c>
      <c r="T898" s="261">
        <v>0</v>
      </c>
      <c r="U898" s="243"/>
      <c r="V898" s="243"/>
    </row>
    <row r="899" spans="1:39" s="40" customFormat="1" ht="21.75" customHeight="1" x14ac:dyDescent="0.25">
      <c r="A899" s="259">
        <v>3</v>
      </c>
      <c r="B899" s="260" t="s">
        <v>1382</v>
      </c>
      <c r="C899" s="75">
        <f t="shared" si="201"/>
        <v>25045349.460000001</v>
      </c>
      <c r="D899" s="75">
        <f t="shared" si="202"/>
        <v>2922681.9</v>
      </c>
      <c r="E899" s="261">
        <v>0</v>
      </c>
      <c r="F899" s="261">
        <v>0</v>
      </c>
      <c r="G899" s="261">
        <v>2922681.9</v>
      </c>
      <c r="H899" s="261">
        <v>0</v>
      </c>
      <c r="I899" s="261">
        <v>0</v>
      </c>
      <c r="J899" s="262">
        <v>0</v>
      </c>
      <c r="K899" s="261">
        <v>0</v>
      </c>
      <c r="L899" s="261">
        <v>0</v>
      </c>
      <c r="M899" s="261">
        <v>0</v>
      </c>
      <c r="N899" s="261">
        <v>0</v>
      </c>
      <c r="O899" s="261">
        <v>0</v>
      </c>
      <c r="P899" s="263">
        <f>350382+350382</f>
        <v>700764</v>
      </c>
      <c r="Q899" s="261">
        <v>0</v>
      </c>
      <c r="R899" s="261">
        <f>447513.47+62545.39</f>
        <v>510058.86</v>
      </c>
      <c r="S899" s="261">
        <v>20911844.699999999</v>
      </c>
      <c r="T899" s="261">
        <v>0</v>
      </c>
      <c r="U899" s="243"/>
      <c r="V899" s="243"/>
    </row>
    <row r="900" spans="1:39" s="186" customFormat="1" ht="33" customHeight="1" x14ac:dyDescent="0.25">
      <c r="A900" s="322" t="s">
        <v>452</v>
      </c>
      <c r="B900" s="322"/>
      <c r="C900" s="118">
        <f t="shared" ref="C900:T900" si="203">SUM(C901:C902)</f>
        <v>21320759.239999998</v>
      </c>
      <c r="D900" s="118">
        <f t="shared" si="203"/>
        <v>0</v>
      </c>
      <c r="E900" s="118">
        <f t="shared" si="203"/>
        <v>0</v>
      </c>
      <c r="F900" s="118">
        <f t="shared" si="203"/>
        <v>0</v>
      </c>
      <c r="G900" s="118">
        <f t="shared" si="203"/>
        <v>0</v>
      </c>
      <c r="H900" s="118">
        <f t="shared" si="203"/>
        <v>0</v>
      </c>
      <c r="I900" s="118">
        <f t="shared" si="203"/>
        <v>0</v>
      </c>
      <c r="J900" s="119">
        <f t="shared" si="203"/>
        <v>0</v>
      </c>
      <c r="K900" s="118">
        <f t="shared" si="203"/>
        <v>0</v>
      </c>
      <c r="L900" s="118">
        <f t="shared" si="203"/>
        <v>6380004.4699999997</v>
      </c>
      <c r="M900" s="118">
        <f t="shared" si="203"/>
        <v>0</v>
      </c>
      <c r="N900" s="118">
        <f t="shared" si="203"/>
        <v>14494050</v>
      </c>
      <c r="O900" s="118">
        <f t="shared" si="203"/>
        <v>0</v>
      </c>
      <c r="P900" s="118">
        <f t="shared" si="203"/>
        <v>0</v>
      </c>
      <c r="Q900" s="118">
        <f t="shared" si="203"/>
        <v>0</v>
      </c>
      <c r="R900" s="118">
        <f t="shared" si="203"/>
        <v>446704.77</v>
      </c>
      <c r="S900" s="118">
        <f t="shared" si="203"/>
        <v>0</v>
      </c>
      <c r="T900" s="118">
        <f t="shared" si="203"/>
        <v>0</v>
      </c>
      <c r="U900" s="238"/>
      <c r="V900" s="238"/>
    </row>
    <row r="901" spans="1:39" s="40" customFormat="1" ht="21.75" customHeight="1" x14ac:dyDescent="0.25">
      <c r="A901" s="259">
        <v>1</v>
      </c>
      <c r="B901" s="282" t="s">
        <v>1383</v>
      </c>
      <c r="C901" s="75">
        <f t="shared" ref="C901:C902" si="204">D901+K901+L901+M901+N901+O901+P901+Q901+R901+S901+T901</f>
        <v>6516536.5699999994</v>
      </c>
      <c r="D901" s="75">
        <f t="shared" ref="D901:D902" si="205">SUM(E901:I901)</f>
        <v>0</v>
      </c>
      <c r="E901" s="263">
        <v>0</v>
      </c>
      <c r="F901" s="261">
        <v>0</v>
      </c>
      <c r="G901" s="261">
        <v>0</v>
      </c>
      <c r="H901" s="263">
        <v>0</v>
      </c>
      <c r="I901" s="263">
        <v>0</v>
      </c>
      <c r="J901" s="262">
        <v>0</v>
      </c>
      <c r="K901" s="263">
        <v>0</v>
      </c>
      <c r="L901" s="261">
        <v>6380004.4699999997</v>
      </c>
      <c r="M901" s="261">
        <v>0</v>
      </c>
      <c r="N901" s="261">
        <v>0</v>
      </c>
      <c r="O901" s="261">
        <v>0</v>
      </c>
      <c r="P901" s="261">
        <v>0</v>
      </c>
      <c r="Q901" s="261">
        <v>0</v>
      </c>
      <c r="R901" s="261">
        <v>136532.1</v>
      </c>
      <c r="S901" s="261">
        <v>0</v>
      </c>
      <c r="T901" s="261">
        <v>0</v>
      </c>
      <c r="U901" s="254"/>
      <c r="V901" s="254"/>
    </row>
    <row r="902" spans="1:39" s="40" customFormat="1" ht="21.75" customHeight="1" x14ac:dyDescent="0.25">
      <c r="A902" s="287">
        <v>2</v>
      </c>
      <c r="B902" s="282" t="s">
        <v>1384</v>
      </c>
      <c r="C902" s="75">
        <f t="shared" si="204"/>
        <v>14804222.67</v>
      </c>
      <c r="D902" s="75">
        <f t="shared" si="205"/>
        <v>0</v>
      </c>
      <c r="E902" s="261">
        <f>SUM(F902:J902)</f>
        <v>0</v>
      </c>
      <c r="F902" s="261">
        <v>0</v>
      </c>
      <c r="G902" s="261">
        <v>0</v>
      </c>
      <c r="H902" s="263">
        <v>0</v>
      </c>
      <c r="I902" s="263">
        <v>0</v>
      </c>
      <c r="J902" s="262">
        <v>0</v>
      </c>
      <c r="K902" s="263">
        <v>0</v>
      </c>
      <c r="L902" s="261">
        <v>0</v>
      </c>
      <c r="M902" s="261">
        <v>0</v>
      </c>
      <c r="N902" s="261">
        <v>14494050</v>
      </c>
      <c r="O902" s="261">
        <v>0</v>
      </c>
      <c r="P902" s="261">
        <v>0</v>
      </c>
      <c r="Q902" s="261">
        <v>0</v>
      </c>
      <c r="R902" s="261">
        <v>310172.67</v>
      </c>
      <c r="S902" s="261">
        <v>0</v>
      </c>
      <c r="T902" s="261">
        <v>0</v>
      </c>
      <c r="U902" s="254"/>
      <c r="V902" s="254"/>
    </row>
    <row r="903" spans="1:39" s="186" customFormat="1" ht="21.75" customHeight="1" x14ac:dyDescent="0.25">
      <c r="A903" s="326" t="s">
        <v>465</v>
      </c>
      <c r="B903" s="326"/>
      <c r="C903" s="118">
        <f t="shared" ref="C903:T903" si="206">SUM(C904:C907)</f>
        <v>21365651.73</v>
      </c>
      <c r="D903" s="118">
        <f t="shared" si="206"/>
        <v>8759016</v>
      </c>
      <c r="E903" s="118">
        <f t="shared" si="206"/>
        <v>0</v>
      </c>
      <c r="F903" s="118">
        <f t="shared" si="206"/>
        <v>6324675</v>
      </c>
      <c r="G903" s="118">
        <f t="shared" si="206"/>
        <v>842712</v>
      </c>
      <c r="H903" s="118">
        <f t="shared" si="206"/>
        <v>474025.5</v>
      </c>
      <c r="I903" s="118">
        <f t="shared" si="206"/>
        <v>1117603.5</v>
      </c>
      <c r="J903" s="119">
        <f t="shared" si="206"/>
        <v>0</v>
      </c>
      <c r="K903" s="118">
        <f t="shared" si="206"/>
        <v>0</v>
      </c>
      <c r="L903" s="118">
        <f t="shared" si="206"/>
        <v>12158990.4</v>
      </c>
      <c r="M903" s="118">
        <f t="shared" si="206"/>
        <v>0</v>
      </c>
      <c r="N903" s="118">
        <f t="shared" si="206"/>
        <v>0</v>
      </c>
      <c r="O903" s="118">
        <f t="shared" si="206"/>
        <v>0</v>
      </c>
      <c r="P903" s="118">
        <f t="shared" si="206"/>
        <v>0</v>
      </c>
      <c r="Q903" s="118">
        <f t="shared" si="206"/>
        <v>0</v>
      </c>
      <c r="R903" s="118">
        <f t="shared" si="206"/>
        <v>447645.33</v>
      </c>
      <c r="S903" s="118">
        <f t="shared" si="206"/>
        <v>0</v>
      </c>
      <c r="T903" s="118">
        <f t="shared" si="206"/>
        <v>0</v>
      </c>
      <c r="U903" s="252"/>
      <c r="V903" s="252"/>
    </row>
    <row r="904" spans="1:39" s="186" customFormat="1" ht="21.75" customHeight="1" x14ac:dyDescent="0.25">
      <c r="A904" s="25">
        <v>1</v>
      </c>
      <c r="B904" s="38" t="s">
        <v>468</v>
      </c>
      <c r="C904" s="75">
        <f t="shared" ref="C904:C907" si="207">D904+K904+L904+M904+N904+O904+P904+Q904+R904+S904+T904</f>
        <v>11664287.9</v>
      </c>
      <c r="D904" s="75">
        <f t="shared" ref="D904:D907" si="208">SUM(E904:I904)</f>
        <v>4917744</v>
      </c>
      <c r="E904" s="87">
        <v>0</v>
      </c>
      <c r="F904" s="288">
        <v>2483403</v>
      </c>
      <c r="G904" s="288">
        <v>842712</v>
      </c>
      <c r="H904" s="288">
        <v>474025.5</v>
      </c>
      <c r="I904" s="288">
        <v>1117603.5</v>
      </c>
      <c r="J904" s="240">
        <v>0</v>
      </c>
      <c r="K904" s="87">
        <v>0</v>
      </c>
      <c r="L904" s="87">
        <v>6502158</v>
      </c>
      <c r="M904" s="87">
        <v>0</v>
      </c>
      <c r="N904" s="87">
        <v>0</v>
      </c>
      <c r="O904" s="87">
        <v>0</v>
      </c>
      <c r="P904" s="87">
        <v>0</v>
      </c>
      <c r="Q904" s="87">
        <v>0</v>
      </c>
      <c r="R904" s="289">
        <v>244385.9</v>
      </c>
      <c r="S904" s="87">
        <v>0</v>
      </c>
      <c r="T904" s="87">
        <v>0</v>
      </c>
      <c r="U904" s="253"/>
      <c r="V904" s="253"/>
      <c r="W904" s="40"/>
      <c r="X904" s="40"/>
      <c r="Y904" s="40"/>
      <c r="Z904" s="40"/>
      <c r="AA904" s="40"/>
      <c r="AB904" s="40"/>
      <c r="AC904" s="40"/>
      <c r="AD904" s="40"/>
      <c r="AE904" s="40"/>
      <c r="AF904" s="40"/>
      <c r="AG904" s="40"/>
      <c r="AH904" s="40"/>
      <c r="AI904" s="40"/>
      <c r="AJ904" s="40"/>
      <c r="AK904" s="40"/>
      <c r="AL904" s="40"/>
      <c r="AM904" s="40"/>
    </row>
    <row r="905" spans="1:39" s="186" customFormat="1" ht="21.75" customHeight="1" x14ac:dyDescent="0.25">
      <c r="A905" s="25">
        <v>2</v>
      </c>
      <c r="B905" s="38" t="s">
        <v>712</v>
      </c>
      <c r="C905" s="75">
        <f t="shared" si="207"/>
        <v>1682945.8699999999</v>
      </c>
      <c r="D905" s="75">
        <f t="shared" si="208"/>
        <v>1647685.4</v>
      </c>
      <c r="E905" s="75">
        <v>0</v>
      </c>
      <c r="F905" s="288">
        <v>1647685.4</v>
      </c>
      <c r="G905" s="75">
        <v>0</v>
      </c>
      <c r="H905" s="75">
        <v>0</v>
      </c>
      <c r="I905" s="75">
        <v>0</v>
      </c>
      <c r="J905" s="152">
        <v>0</v>
      </c>
      <c r="K905" s="75">
        <v>0</v>
      </c>
      <c r="L905" s="75">
        <v>0</v>
      </c>
      <c r="M905" s="75">
        <v>0</v>
      </c>
      <c r="N905" s="75">
        <v>0</v>
      </c>
      <c r="O905" s="75">
        <v>0</v>
      </c>
      <c r="P905" s="87">
        <v>0</v>
      </c>
      <c r="Q905" s="75">
        <v>0</v>
      </c>
      <c r="R905" s="288">
        <v>35260.47</v>
      </c>
      <c r="S905" s="75">
        <v>0</v>
      </c>
      <c r="T905" s="75">
        <v>0</v>
      </c>
      <c r="U905" s="253"/>
      <c r="V905" s="253"/>
      <c r="W905" s="40"/>
      <c r="X905" s="40"/>
      <c r="Y905" s="40"/>
      <c r="Z905" s="40"/>
      <c r="AA905" s="40"/>
      <c r="AB905" s="40"/>
      <c r="AC905" s="40"/>
      <c r="AD905" s="40"/>
      <c r="AE905" s="40"/>
      <c r="AF905" s="40"/>
      <c r="AG905" s="40"/>
      <c r="AH905" s="40"/>
      <c r="AI905" s="40"/>
      <c r="AJ905" s="40"/>
      <c r="AK905" s="40"/>
      <c r="AL905" s="40"/>
      <c r="AM905" s="40"/>
    </row>
    <row r="906" spans="1:39" s="186" customFormat="1" ht="21.75" customHeight="1" x14ac:dyDescent="0.25">
      <c r="A906" s="25">
        <v>3</v>
      </c>
      <c r="B906" s="38" t="s">
        <v>713</v>
      </c>
      <c r="C906" s="75">
        <f t="shared" si="207"/>
        <v>2240529.35</v>
      </c>
      <c r="D906" s="75">
        <f t="shared" si="208"/>
        <v>2193586.6</v>
      </c>
      <c r="E906" s="75">
        <v>0</v>
      </c>
      <c r="F906" s="288">
        <v>2193586.6</v>
      </c>
      <c r="G906" s="75">
        <v>0</v>
      </c>
      <c r="H906" s="75">
        <v>0</v>
      </c>
      <c r="I906" s="75">
        <v>0</v>
      </c>
      <c r="J906" s="152">
        <v>0</v>
      </c>
      <c r="K906" s="75">
        <v>0</v>
      </c>
      <c r="L906" s="75">
        <v>0</v>
      </c>
      <c r="M906" s="75">
        <v>0</v>
      </c>
      <c r="N906" s="75">
        <v>0</v>
      </c>
      <c r="O906" s="75">
        <v>0</v>
      </c>
      <c r="P906" s="87">
        <v>0</v>
      </c>
      <c r="Q906" s="75">
        <v>0</v>
      </c>
      <c r="R906" s="288">
        <v>46942.75</v>
      </c>
      <c r="S906" s="75">
        <v>0</v>
      </c>
      <c r="T906" s="75">
        <v>0</v>
      </c>
      <c r="U906" s="253"/>
      <c r="V906" s="253"/>
      <c r="W906" s="40"/>
      <c r="X906" s="40"/>
      <c r="Y906" s="40"/>
      <c r="Z906" s="40"/>
      <c r="AA906" s="40"/>
      <c r="AB906" s="40"/>
      <c r="AC906" s="40"/>
      <c r="AD906" s="40"/>
      <c r="AE906" s="40"/>
      <c r="AF906" s="40"/>
      <c r="AG906" s="40"/>
      <c r="AH906" s="40"/>
      <c r="AI906" s="40"/>
      <c r="AJ906" s="40"/>
      <c r="AK906" s="40"/>
      <c r="AL906" s="40"/>
      <c r="AM906" s="40"/>
    </row>
    <row r="907" spans="1:39" s="186" customFormat="1" ht="21.75" customHeight="1" x14ac:dyDescent="0.25">
      <c r="A907" s="25">
        <v>4</v>
      </c>
      <c r="B907" s="38" t="s">
        <v>714</v>
      </c>
      <c r="C907" s="75">
        <f t="shared" si="207"/>
        <v>5777888.6100000003</v>
      </c>
      <c r="D907" s="75">
        <f t="shared" si="208"/>
        <v>0</v>
      </c>
      <c r="E907" s="75">
        <v>0</v>
      </c>
      <c r="F907" s="75">
        <v>0</v>
      </c>
      <c r="G907" s="75">
        <v>0</v>
      </c>
      <c r="H907" s="75">
        <v>0</v>
      </c>
      <c r="I907" s="75">
        <v>0</v>
      </c>
      <c r="J907" s="152">
        <v>0</v>
      </c>
      <c r="K907" s="75">
        <v>0</v>
      </c>
      <c r="L907" s="75">
        <v>5656832.4000000004</v>
      </c>
      <c r="M907" s="75">
        <v>0</v>
      </c>
      <c r="N907" s="75">
        <v>0</v>
      </c>
      <c r="O907" s="75">
        <v>0</v>
      </c>
      <c r="P907" s="87">
        <v>0</v>
      </c>
      <c r="Q907" s="75">
        <v>0</v>
      </c>
      <c r="R907" s="288">
        <v>121056.21</v>
      </c>
      <c r="S907" s="75">
        <v>0</v>
      </c>
      <c r="T907" s="75">
        <v>0</v>
      </c>
      <c r="U907" s="253"/>
      <c r="V907" s="253"/>
      <c r="W907" s="40"/>
      <c r="X907" s="40"/>
      <c r="Y907" s="40"/>
      <c r="Z907" s="40"/>
      <c r="AA907" s="40"/>
      <c r="AB907" s="40"/>
      <c r="AC907" s="40"/>
      <c r="AD907" s="40"/>
      <c r="AE907" s="40"/>
      <c r="AF907" s="40"/>
      <c r="AG907" s="40"/>
      <c r="AH907" s="40"/>
      <c r="AI907" s="40"/>
      <c r="AJ907" s="40"/>
      <c r="AK907" s="40"/>
      <c r="AL907" s="40"/>
      <c r="AM907" s="40"/>
    </row>
    <row r="908" spans="1:39" s="186" customFormat="1" ht="21.75" customHeight="1" x14ac:dyDescent="0.25">
      <c r="A908" s="323" t="s">
        <v>1385</v>
      </c>
      <c r="B908" s="323"/>
      <c r="C908" s="118">
        <f t="shared" ref="C908:T908" si="209">SUM(C909:C911)</f>
        <v>12270982.609999999</v>
      </c>
      <c r="D908" s="118">
        <f t="shared" si="209"/>
        <v>488416.5</v>
      </c>
      <c r="E908" s="118">
        <f t="shared" si="209"/>
        <v>0</v>
      </c>
      <c r="F908" s="118">
        <f t="shared" si="209"/>
        <v>0</v>
      </c>
      <c r="G908" s="118">
        <f t="shared" si="209"/>
        <v>0</v>
      </c>
      <c r="H908" s="118">
        <f t="shared" si="209"/>
        <v>488416.5</v>
      </c>
      <c r="I908" s="118">
        <f t="shared" si="209"/>
        <v>0</v>
      </c>
      <c r="J908" s="119">
        <f t="shared" si="209"/>
        <v>0</v>
      </c>
      <c r="K908" s="118">
        <f t="shared" si="209"/>
        <v>0</v>
      </c>
      <c r="L908" s="118">
        <f t="shared" si="209"/>
        <v>11525468.969999999</v>
      </c>
      <c r="M908" s="118">
        <f t="shared" si="209"/>
        <v>0</v>
      </c>
      <c r="N908" s="118">
        <f t="shared" si="209"/>
        <v>0</v>
      </c>
      <c r="O908" s="118">
        <f t="shared" si="209"/>
        <v>0</v>
      </c>
      <c r="P908" s="118">
        <f t="shared" si="209"/>
        <v>0</v>
      </c>
      <c r="Q908" s="118">
        <f t="shared" si="209"/>
        <v>0</v>
      </c>
      <c r="R908" s="118">
        <f t="shared" si="209"/>
        <v>257097.14</v>
      </c>
      <c r="S908" s="118">
        <f t="shared" si="209"/>
        <v>0</v>
      </c>
      <c r="T908" s="118">
        <f t="shared" si="209"/>
        <v>0</v>
      </c>
      <c r="U908" s="252"/>
      <c r="V908" s="252"/>
    </row>
    <row r="909" spans="1:39" s="186" customFormat="1" ht="21.75" customHeight="1" x14ac:dyDescent="0.25">
      <c r="A909" s="25">
        <v>1</v>
      </c>
      <c r="B909" s="93" t="s">
        <v>715</v>
      </c>
      <c r="C909" s="75">
        <f t="shared" ref="C909:C911" si="210">D909+K909+L909+M909+N909+O909+P909+Q909+R909+S909+T909</f>
        <v>4696724.1499999994</v>
      </c>
      <c r="D909" s="75">
        <f t="shared" ref="D909:D911" si="211">SUM(E909:I909)</f>
        <v>0</v>
      </c>
      <c r="E909" s="87">
        <v>0</v>
      </c>
      <c r="F909" s="87">
        <v>0</v>
      </c>
      <c r="G909" s="75">
        <v>0</v>
      </c>
      <c r="H909" s="87">
        <v>0</v>
      </c>
      <c r="I909" s="75">
        <v>0</v>
      </c>
      <c r="J909" s="152">
        <v>0</v>
      </c>
      <c r="K909" s="75">
        <v>0</v>
      </c>
      <c r="L909" s="75">
        <v>4598320.0999999996</v>
      </c>
      <c r="M909" s="75">
        <v>0</v>
      </c>
      <c r="N909" s="75">
        <v>0</v>
      </c>
      <c r="O909" s="75">
        <v>0</v>
      </c>
      <c r="P909" s="87">
        <v>0</v>
      </c>
      <c r="Q909" s="75">
        <v>0</v>
      </c>
      <c r="R909" s="75">
        <v>98404.05</v>
      </c>
      <c r="S909" s="75">
        <v>0</v>
      </c>
      <c r="T909" s="75">
        <v>0</v>
      </c>
      <c r="U909" s="254"/>
      <c r="V909" s="254"/>
      <c r="W909" s="40"/>
      <c r="X909" s="40"/>
      <c r="Y909" s="40"/>
      <c r="Z909" s="40"/>
      <c r="AA909" s="40"/>
      <c r="AB909" s="40"/>
      <c r="AC909" s="40"/>
      <c r="AD909" s="40"/>
      <c r="AE909" s="40"/>
      <c r="AF909" s="40"/>
      <c r="AG909" s="40"/>
      <c r="AH909" s="40"/>
      <c r="AI909" s="40"/>
    </row>
    <row r="910" spans="1:39" s="186" customFormat="1" ht="21.75" customHeight="1" x14ac:dyDescent="0.25">
      <c r="A910" s="25">
        <v>2</v>
      </c>
      <c r="B910" s="93" t="s">
        <v>716</v>
      </c>
      <c r="C910" s="75">
        <f t="shared" si="210"/>
        <v>7075389.8500000006</v>
      </c>
      <c r="D910" s="75">
        <f t="shared" si="211"/>
        <v>0</v>
      </c>
      <c r="E910" s="87">
        <v>0</v>
      </c>
      <c r="F910" s="87">
        <v>0</v>
      </c>
      <c r="G910" s="75">
        <v>0</v>
      </c>
      <c r="H910" s="87">
        <v>0</v>
      </c>
      <c r="I910" s="75">
        <v>0</v>
      </c>
      <c r="J910" s="152">
        <v>0</v>
      </c>
      <c r="K910" s="75">
        <v>0</v>
      </c>
      <c r="L910" s="75">
        <v>6927148.8700000001</v>
      </c>
      <c r="M910" s="75">
        <v>0</v>
      </c>
      <c r="N910" s="75">
        <v>0</v>
      </c>
      <c r="O910" s="75">
        <v>0</v>
      </c>
      <c r="P910" s="87">
        <v>0</v>
      </c>
      <c r="Q910" s="75">
        <v>0</v>
      </c>
      <c r="R910" s="75">
        <v>148240.98000000001</v>
      </c>
      <c r="S910" s="75">
        <v>0</v>
      </c>
      <c r="T910" s="75">
        <v>0</v>
      </c>
      <c r="U910" s="254"/>
      <c r="V910" s="254"/>
      <c r="W910" s="40"/>
      <c r="X910" s="40"/>
      <c r="Y910" s="40"/>
      <c r="Z910" s="40"/>
      <c r="AA910" s="40"/>
      <c r="AB910" s="40"/>
      <c r="AC910" s="40"/>
      <c r="AD910" s="40"/>
      <c r="AE910" s="40"/>
      <c r="AF910" s="40"/>
      <c r="AG910" s="40"/>
      <c r="AH910" s="40"/>
      <c r="AI910" s="40"/>
    </row>
    <row r="911" spans="1:39" s="40" customFormat="1" ht="21.75" customHeight="1" x14ac:dyDescent="0.25">
      <c r="A911" s="259">
        <v>3</v>
      </c>
      <c r="B911" s="260" t="s">
        <v>481</v>
      </c>
      <c r="C911" s="75">
        <f t="shared" si="210"/>
        <v>498868.61</v>
      </c>
      <c r="D911" s="75">
        <f t="shared" si="211"/>
        <v>488416.5</v>
      </c>
      <c r="E911" s="263">
        <v>0</v>
      </c>
      <c r="F911" s="261">
        <v>0</v>
      </c>
      <c r="G911" s="261">
        <v>0</v>
      </c>
      <c r="H911" s="263">
        <v>488416.5</v>
      </c>
      <c r="I911" s="261">
        <v>0</v>
      </c>
      <c r="J911" s="262">
        <v>0</v>
      </c>
      <c r="K911" s="261">
        <v>0</v>
      </c>
      <c r="L911" s="261">
        <v>0</v>
      </c>
      <c r="M911" s="261">
        <v>0</v>
      </c>
      <c r="N911" s="261">
        <v>0</v>
      </c>
      <c r="O911" s="261">
        <v>0</v>
      </c>
      <c r="P911" s="261">
        <v>0</v>
      </c>
      <c r="Q911" s="261">
        <v>0</v>
      </c>
      <c r="R911" s="290">
        <f>34590.24-24138.13</f>
        <v>10452.109999999997</v>
      </c>
      <c r="S911" s="261">
        <v>0</v>
      </c>
      <c r="T911" s="261">
        <v>0</v>
      </c>
      <c r="U911" s="264"/>
      <c r="V911" s="264"/>
    </row>
    <row r="912" spans="1:39" s="40" customFormat="1" ht="21.75" customHeight="1" x14ac:dyDescent="0.25">
      <c r="A912" s="347" t="s">
        <v>482</v>
      </c>
      <c r="B912" s="347"/>
      <c r="C912" s="118">
        <f t="shared" ref="C912:T912" si="212">SUM(C913:C914)</f>
        <v>2374096.34</v>
      </c>
      <c r="D912" s="118">
        <f t="shared" si="212"/>
        <v>1804296.4</v>
      </c>
      <c r="E912" s="118">
        <f t="shared" si="212"/>
        <v>0</v>
      </c>
      <c r="F912" s="118">
        <f t="shared" si="212"/>
        <v>1804296.4</v>
      </c>
      <c r="G912" s="118">
        <f t="shared" si="212"/>
        <v>0</v>
      </c>
      <c r="H912" s="118">
        <f t="shared" si="212"/>
        <v>0</v>
      </c>
      <c r="I912" s="118">
        <f t="shared" si="212"/>
        <v>0</v>
      </c>
      <c r="J912" s="119">
        <f t="shared" si="212"/>
        <v>0</v>
      </c>
      <c r="K912" s="118">
        <f t="shared" si="212"/>
        <v>0</v>
      </c>
      <c r="L912" s="118">
        <f t="shared" si="212"/>
        <v>0</v>
      </c>
      <c r="M912" s="118">
        <f t="shared" si="212"/>
        <v>0</v>
      </c>
      <c r="N912" s="118">
        <f t="shared" si="212"/>
        <v>0</v>
      </c>
      <c r="O912" s="118">
        <f t="shared" si="212"/>
        <v>0</v>
      </c>
      <c r="P912" s="118">
        <f t="shared" si="212"/>
        <v>531188</v>
      </c>
      <c r="Q912" s="118">
        <f t="shared" si="212"/>
        <v>0</v>
      </c>
      <c r="R912" s="118">
        <f t="shared" si="212"/>
        <v>38611.94</v>
      </c>
      <c r="S912" s="118">
        <f t="shared" si="212"/>
        <v>0</v>
      </c>
      <c r="T912" s="118">
        <f t="shared" si="212"/>
        <v>0</v>
      </c>
      <c r="U912" s="238"/>
      <c r="V912" s="238"/>
      <c r="W912" s="186"/>
      <c r="X912" s="186"/>
      <c r="Y912" s="186"/>
      <c r="Z912" s="186"/>
      <c r="AA912" s="186"/>
      <c r="AB912" s="186"/>
      <c r="AC912" s="186"/>
      <c r="AD912" s="186"/>
      <c r="AE912" s="186"/>
      <c r="AF912" s="186"/>
      <c r="AG912" s="186"/>
      <c r="AH912" s="186"/>
      <c r="AI912" s="186"/>
    </row>
    <row r="913" spans="1:35" s="40" customFormat="1" ht="21.75" customHeight="1" x14ac:dyDescent="0.25">
      <c r="A913" s="259">
        <v>1</v>
      </c>
      <c r="B913" s="260" t="s">
        <v>1386</v>
      </c>
      <c r="C913" s="75">
        <f t="shared" ref="C913:C914" si="213">D913+K913+L913+M913+N913+O913+P913+Q913+R913+S913+T913</f>
        <v>265594</v>
      </c>
      <c r="D913" s="75">
        <f t="shared" ref="D913:D914" si="214">SUM(E913:I913)</f>
        <v>0</v>
      </c>
      <c r="E913" s="75">
        <v>0</v>
      </c>
      <c r="F913" s="75">
        <v>0</v>
      </c>
      <c r="G913" s="75">
        <v>0</v>
      </c>
      <c r="H913" s="75">
        <v>0</v>
      </c>
      <c r="I913" s="75">
        <v>0</v>
      </c>
      <c r="J913" s="152">
        <v>0</v>
      </c>
      <c r="K913" s="75">
        <v>0</v>
      </c>
      <c r="L913" s="87">
        <v>0</v>
      </c>
      <c r="M913" s="75">
        <v>0</v>
      </c>
      <c r="N913" s="87">
        <v>0</v>
      </c>
      <c r="O913" s="75">
        <v>0</v>
      </c>
      <c r="P913" s="87">
        <v>265594</v>
      </c>
      <c r="Q913" s="75">
        <v>0</v>
      </c>
      <c r="R913" s="75">
        <v>0</v>
      </c>
      <c r="S913" s="75">
        <v>0</v>
      </c>
      <c r="T913" s="75">
        <v>0</v>
      </c>
      <c r="U913" s="243"/>
      <c r="V913" s="243"/>
      <c r="W913" s="186"/>
      <c r="X913" s="186"/>
      <c r="Y913" s="186"/>
      <c r="Z913" s="186"/>
      <c r="AA913" s="186"/>
      <c r="AB913" s="186"/>
      <c r="AC913" s="186"/>
      <c r="AD913" s="186"/>
      <c r="AE913" s="186"/>
      <c r="AF913" s="186"/>
      <c r="AG913" s="186"/>
      <c r="AH913" s="186"/>
      <c r="AI913" s="186"/>
    </row>
    <row r="914" spans="1:35" s="40" customFormat="1" ht="21.75" customHeight="1" x14ac:dyDescent="0.25">
      <c r="A914" s="259">
        <v>2</v>
      </c>
      <c r="B914" s="260" t="s">
        <v>1387</v>
      </c>
      <c r="C914" s="75">
        <f t="shared" si="213"/>
        <v>2108502.34</v>
      </c>
      <c r="D914" s="75">
        <f t="shared" si="214"/>
        <v>1804296.4</v>
      </c>
      <c r="E914" s="75">
        <v>0</v>
      </c>
      <c r="F914" s="75">
        <v>1804296.4</v>
      </c>
      <c r="G914" s="75">
        <v>0</v>
      </c>
      <c r="H914" s="75">
        <v>0</v>
      </c>
      <c r="I914" s="75">
        <v>0</v>
      </c>
      <c r="J914" s="152">
        <v>0</v>
      </c>
      <c r="K914" s="75">
        <v>0</v>
      </c>
      <c r="L914" s="87">
        <v>0</v>
      </c>
      <c r="M914" s="75">
        <v>0</v>
      </c>
      <c r="N914" s="87">
        <v>0</v>
      </c>
      <c r="O914" s="75">
        <v>0</v>
      </c>
      <c r="P914" s="87">
        <v>265594</v>
      </c>
      <c r="Q914" s="75">
        <v>0</v>
      </c>
      <c r="R914" s="75">
        <v>38611.94</v>
      </c>
      <c r="S914" s="75">
        <v>0</v>
      </c>
      <c r="T914" s="75">
        <v>0</v>
      </c>
      <c r="U914" s="243"/>
      <c r="V914" s="243"/>
      <c r="W914" s="186"/>
      <c r="X914" s="186"/>
      <c r="Y914" s="186"/>
      <c r="Z914" s="186"/>
      <c r="AA914" s="186"/>
      <c r="AB914" s="186"/>
      <c r="AC914" s="186"/>
      <c r="AD914" s="186"/>
      <c r="AE914" s="186"/>
      <c r="AF914" s="186"/>
      <c r="AG914" s="186"/>
      <c r="AH914" s="186"/>
      <c r="AI914" s="186"/>
    </row>
    <row r="915" spans="1:35" s="186" customFormat="1" ht="21.75" customHeight="1" x14ac:dyDescent="0.25">
      <c r="A915" s="326" t="s">
        <v>491</v>
      </c>
      <c r="B915" s="326"/>
      <c r="C915" s="118">
        <f t="shared" ref="C915:T915" si="215">SUM(C916:C920)</f>
        <v>40900714.379999995</v>
      </c>
      <c r="D915" s="118">
        <f t="shared" si="215"/>
        <v>29226111.920000002</v>
      </c>
      <c r="E915" s="118">
        <f t="shared" si="215"/>
        <v>1966434.54</v>
      </c>
      <c r="F915" s="118">
        <f t="shared" si="215"/>
        <v>16349511.890000001</v>
      </c>
      <c r="G915" s="118">
        <f t="shared" si="215"/>
        <v>6314651.9000000004</v>
      </c>
      <c r="H915" s="118">
        <f t="shared" si="215"/>
        <v>1580668.9</v>
      </c>
      <c r="I915" s="118">
        <f t="shared" si="215"/>
        <v>3014844.69</v>
      </c>
      <c r="J915" s="119">
        <f t="shared" si="215"/>
        <v>0</v>
      </c>
      <c r="K915" s="118">
        <f t="shared" si="215"/>
        <v>0</v>
      </c>
      <c r="L915" s="118">
        <f t="shared" si="215"/>
        <v>0</v>
      </c>
      <c r="M915" s="118">
        <f t="shared" si="215"/>
        <v>0</v>
      </c>
      <c r="N915" s="118">
        <f t="shared" si="215"/>
        <v>8906307</v>
      </c>
      <c r="O915" s="118">
        <f t="shared" si="215"/>
        <v>0</v>
      </c>
      <c r="P915" s="118">
        <f t="shared" si="215"/>
        <v>1932716</v>
      </c>
      <c r="Q915" s="118">
        <f t="shared" si="215"/>
        <v>0</v>
      </c>
      <c r="R915" s="118">
        <f t="shared" si="215"/>
        <v>835579.46</v>
      </c>
      <c r="S915" s="118">
        <f t="shared" si="215"/>
        <v>0</v>
      </c>
      <c r="T915" s="118">
        <f t="shared" si="215"/>
        <v>0</v>
      </c>
      <c r="U915" s="252"/>
      <c r="V915" s="252"/>
    </row>
    <row r="916" spans="1:35" s="40" customFormat="1" ht="21.75" customHeight="1" x14ac:dyDescent="0.25">
      <c r="A916" s="259">
        <v>1</v>
      </c>
      <c r="B916" s="260" t="s">
        <v>494</v>
      </c>
      <c r="C916" s="75">
        <f t="shared" ref="C916:C920" si="216">D916+K916+L916+M916+N916+O916+P916+Q916+R916+S916+T916</f>
        <v>1874943.9900000002</v>
      </c>
      <c r="D916" s="75">
        <f t="shared" ref="D916:D920" si="217">SUM(E916:I916)</f>
        <v>1816524.6800000002</v>
      </c>
      <c r="E916" s="261">
        <v>0</v>
      </c>
      <c r="F916" s="261">
        <v>1313098.0900000001</v>
      </c>
      <c r="G916" s="261">
        <v>0</v>
      </c>
      <c r="H916" s="261">
        <v>0</v>
      </c>
      <c r="I916" s="261">
        <v>503426.59</v>
      </c>
      <c r="J916" s="262">
        <v>0</v>
      </c>
      <c r="K916" s="261">
        <v>0</v>
      </c>
      <c r="L916" s="263">
        <v>0</v>
      </c>
      <c r="M916" s="261">
        <v>0</v>
      </c>
      <c r="N916" s="261">
        <v>0</v>
      </c>
      <c r="O916" s="261">
        <v>0</v>
      </c>
      <c r="P916" s="263">
        <v>0</v>
      </c>
      <c r="Q916" s="261">
        <v>0</v>
      </c>
      <c r="R916" s="261">
        <f>16588.38+41830.93</f>
        <v>58419.31</v>
      </c>
      <c r="S916" s="261">
        <v>0</v>
      </c>
      <c r="T916" s="261">
        <v>0</v>
      </c>
      <c r="U916" s="253"/>
      <c r="V916" s="253"/>
    </row>
    <row r="917" spans="1:35" s="40" customFormat="1" ht="21.75" customHeight="1" x14ac:dyDescent="0.25">
      <c r="A917" s="291">
        <v>2</v>
      </c>
      <c r="B917" s="260" t="s">
        <v>787</v>
      </c>
      <c r="C917" s="75">
        <f t="shared" si="216"/>
        <v>1277676.22</v>
      </c>
      <c r="D917" s="75">
        <f t="shared" si="217"/>
        <v>990877.44</v>
      </c>
      <c r="E917" s="241">
        <v>990877.44</v>
      </c>
      <c r="F917" s="241">
        <v>0</v>
      </c>
      <c r="G917" s="241">
        <v>0</v>
      </c>
      <c r="H917" s="241">
        <v>0</v>
      </c>
      <c r="I917" s="241">
        <v>0</v>
      </c>
      <c r="J917" s="242">
        <v>0</v>
      </c>
      <c r="K917" s="241">
        <v>0</v>
      </c>
      <c r="L917" s="241">
        <v>0</v>
      </c>
      <c r="M917" s="241">
        <v>0</v>
      </c>
      <c r="N917" s="241">
        <v>0</v>
      </c>
      <c r="O917" s="241">
        <v>0</v>
      </c>
      <c r="P917" s="241">
        <v>265594</v>
      </c>
      <c r="Q917" s="241">
        <v>0</v>
      </c>
      <c r="R917" s="241">
        <v>21204.78</v>
      </c>
      <c r="S917" s="292">
        <v>0</v>
      </c>
      <c r="T917" s="292">
        <v>0</v>
      </c>
      <c r="U917" s="264"/>
      <c r="V917" s="264"/>
    </row>
    <row r="918" spans="1:35" s="40" customFormat="1" ht="21.75" customHeight="1" x14ac:dyDescent="0.25">
      <c r="A918" s="291">
        <v>3</v>
      </c>
      <c r="B918" s="260" t="s">
        <v>788</v>
      </c>
      <c r="C918" s="75">
        <f t="shared" si="216"/>
        <v>1262028.03</v>
      </c>
      <c r="D918" s="75">
        <f t="shared" si="217"/>
        <v>975557.1</v>
      </c>
      <c r="E918" s="241">
        <v>975557.1</v>
      </c>
      <c r="F918" s="241">
        <v>0</v>
      </c>
      <c r="G918" s="241">
        <v>0</v>
      </c>
      <c r="H918" s="241">
        <v>0</v>
      </c>
      <c r="I918" s="241">
        <v>0</v>
      </c>
      <c r="J918" s="242">
        <v>0</v>
      </c>
      <c r="K918" s="241">
        <v>0</v>
      </c>
      <c r="L918" s="241">
        <v>0</v>
      </c>
      <c r="M918" s="241">
        <v>0</v>
      </c>
      <c r="N918" s="241">
        <v>0</v>
      </c>
      <c r="O918" s="241">
        <v>0</v>
      </c>
      <c r="P918" s="241">
        <v>265594</v>
      </c>
      <c r="Q918" s="241">
        <v>0</v>
      </c>
      <c r="R918" s="241">
        <v>20876.93</v>
      </c>
      <c r="S918" s="292">
        <v>0</v>
      </c>
      <c r="T918" s="292">
        <v>0</v>
      </c>
      <c r="U918" s="264"/>
      <c r="V918" s="264"/>
    </row>
    <row r="919" spans="1:35" s="40" customFormat="1" ht="21.75" customHeight="1" x14ac:dyDescent="0.25">
      <c r="A919" s="259">
        <v>4</v>
      </c>
      <c r="B919" s="260" t="s">
        <v>1388</v>
      </c>
      <c r="C919" s="75">
        <f t="shared" si="216"/>
        <v>17032475.050000001</v>
      </c>
      <c r="D919" s="75">
        <f t="shared" si="217"/>
        <v>11843685</v>
      </c>
      <c r="E919" s="261">
        <v>0</v>
      </c>
      <c r="F919" s="261">
        <v>6999390</v>
      </c>
      <c r="G919" s="261">
        <v>2939445</v>
      </c>
      <c r="H919" s="261">
        <v>735795</v>
      </c>
      <c r="I919" s="261">
        <v>1169055</v>
      </c>
      <c r="J919" s="262">
        <v>0</v>
      </c>
      <c r="K919" s="261">
        <v>0</v>
      </c>
      <c r="L919" s="261">
        <v>0</v>
      </c>
      <c r="M919" s="261">
        <v>0</v>
      </c>
      <c r="N919" s="261">
        <v>4145850</v>
      </c>
      <c r="O919" s="261">
        <v>0</v>
      </c>
      <c r="P919" s="261">
        <v>700764</v>
      </c>
      <c r="Q919" s="261">
        <v>0</v>
      </c>
      <c r="R919" s="261">
        <v>342176.05</v>
      </c>
      <c r="S919" s="261">
        <v>0</v>
      </c>
      <c r="T919" s="261">
        <v>0</v>
      </c>
      <c r="U919" s="253"/>
      <c r="V919" s="253"/>
    </row>
    <row r="920" spans="1:35" s="40" customFormat="1" ht="21.75" customHeight="1" x14ac:dyDescent="0.25">
      <c r="A920" s="259">
        <v>5</v>
      </c>
      <c r="B920" s="260" t="s">
        <v>1389</v>
      </c>
      <c r="C920" s="75">
        <f t="shared" si="216"/>
        <v>19453591.09</v>
      </c>
      <c r="D920" s="75">
        <f t="shared" si="217"/>
        <v>13599467.699999999</v>
      </c>
      <c r="E920" s="261">
        <v>0</v>
      </c>
      <c r="F920" s="261">
        <v>8037023.7999999998</v>
      </c>
      <c r="G920" s="261">
        <v>3375206.9</v>
      </c>
      <c r="H920" s="261">
        <v>844873.89999999991</v>
      </c>
      <c r="I920" s="261">
        <v>1342363.0999999999</v>
      </c>
      <c r="J920" s="262">
        <v>0</v>
      </c>
      <c r="K920" s="261">
        <v>0</v>
      </c>
      <c r="L920" s="261">
        <v>0</v>
      </c>
      <c r="M920" s="261">
        <v>0</v>
      </c>
      <c r="N920" s="261">
        <v>4760457</v>
      </c>
      <c r="O920" s="261">
        <v>0</v>
      </c>
      <c r="P920" s="261">
        <v>700764</v>
      </c>
      <c r="Q920" s="261">
        <v>0</v>
      </c>
      <c r="R920" s="261">
        <v>392902.39</v>
      </c>
      <c r="S920" s="261">
        <v>0</v>
      </c>
      <c r="T920" s="261">
        <v>0</v>
      </c>
      <c r="U920" s="253"/>
      <c r="V920" s="253"/>
    </row>
    <row r="921" spans="1:35" s="186" customFormat="1" ht="21.75" customHeight="1" x14ac:dyDescent="0.25">
      <c r="A921" s="322" t="s">
        <v>498</v>
      </c>
      <c r="B921" s="322"/>
      <c r="C921" s="118">
        <f t="shared" ref="C921:T921" si="218">SUM(C922:C923)</f>
        <v>8917767.8000000007</v>
      </c>
      <c r="D921" s="118">
        <f t="shared" si="218"/>
        <v>5003874.26</v>
      </c>
      <c r="E921" s="118">
        <f t="shared" si="218"/>
        <v>0</v>
      </c>
      <c r="F921" s="118">
        <f t="shared" si="218"/>
        <v>2776687.21</v>
      </c>
      <c r="G921" s="118">
        <f t="shared" si="218"/>
        <v>0</v>
      </c>
      <c r="H921" s="118">
        <f t="shared" si="218"/>
        <v>426832.49</v>
      </c>
      <c r="I921" s="118">
        <f t="shared" si="218"/>
        <v>1800354.56</v>
      </c>
      <c r="J921" s="119">
        <f t="shared" si="218"/>
        <v>0</v>
      </c>
      <c r="K921" s="118">
        <f t="shared" si="218"/>
        <v>0</v>
      </c>
      <c r="L921" s="118">
        <f t="shared" si="218"/>
        <v>0</v>
      </c>
      <c r="M921" s="118">
        <f t="shared" si="218"/>
        <v>0</v>
      </c>
      <c r="N921" s="118">
        <f t="shared" si="218"/>
        <v>3665007.05</v>
      </c>
      <c r="O921" s="118">
        <f t="shared" si="218"/>
        <v>0</v>
      </c>
      <c r="P921" s="118">
        <f t="shared" si="218"/>
        <v>0</v>
      </c>
      <c r="Q921" s="118">
        <f t="shared" si="218"/>
        <v>0</v>
      </c>
      <c r="R921" s="118">
        <f t="shared" si="218"/>
        <v>248886.49</v>
      </c>
      <c r="S921" s="118">
        <f t="shared" si="218"/>
        <v>0</v>
      </c>
      <c r="T921" s="118">
        <f t="shared" si="218"/>
        <v>0</v>
      </c>
      <c r="U921" s="239"/>
      <c r="V921" s="239"/>
    </row>
    <row r="922" spans="1:35" s="40" customFormat="1" ht="21.75" customHeight="1" x14ac:dyDescent="0.25">
      <c r="A922" s="259">
        <v>1</v>
      </c>
      <c r="B922" s="260" t="s">
        <v>789</v>
      </c>
      <c r="C922" s="75">
        <f t="shared" ref="C922:C923" si="219">D922+K922+L922+M922+N922+O922+P922+Q922+R922+S922+T922</f>
        <v>5640712.21</v>
      </c>
      <c r="D922" s="75">
        <f t="shared" ref="D922:D923" si="220">SUM(E922:I922)</f>
        <v>1726818.67</v>
      </c>
      <c r="E922" s="261">
        <v>0</v>
      </c>
      <c r="F922" s="261">
        <v>1726818.67</v>
      </c>
      <c r="G922" s="261">
        <v>0</v>
      </c>
      <c r="H922" s="261">
        <v>0</v>
      </c>
      <c r="I922" s="261">
        <v>0</v>
      </c>
      <c r="J922" s="262">
        <v>0</v>
      </c>
      <c r="K922" s="261">
        <v>0</v>
      </c>
      <c r="L922" s="261">
        <v>0</v>
      </c>
      <c r="M922" s="261">
        <v>0</v>
      </c>
      <c r="N922" s="261">
        <v>3665007.05</v>
      </c>
      <c r="O922" s="261">
        <v>0</v>
      </c>
      <c r="P922" s="261">
        <v>0</v>
      </c>
      <c r="Q922" s="261">
        <v>0</v>
      </c>
      <c r="R922" s="261">
        <f>69732.79+179153.7</f>
        <v>248886.49</v>
      </c>
      <c r="S922" s="261">
        <v>0</v>
      </c>
      <c r="T922" s="261">
        <v>0</v>
      </c>
      <c r="U922" s="254"/>
      <c r="V922" s="254"/>
    </row>
    <row r="923" spans="1:35" s="40" customFormat="1" ht="21.75" customHeight="1" x14ac:dyDescent="0.25">
      <c r="A923" s="259">
        <v>2</v>
      </c>
      <c r="B923" s="260" t="s">
        <v>724</v>
      </c>
      <c r="C923" s="75">
        <f t="shared" si="219"/>
        <v>3277055.59</v>
      </c>
      <c r="D923" s="75">
        <f t="shared" si="220"/>
        <v>3277055.59</v>
      </c>
      <c r="E923" s="261">
        <v>0</v>
      </c>
      <c r="F923" s="261">
        <v>1049868.54</v>
      </c>
      <c r="G923" s="261">
        <v>0</v>
      </c>
      <c r="H923" s="261">
        <v>426832.49</v>
      </c>
      <c r="I923" s="261">
        <v>1800354.56</v>
      </c>
      <c r="J923" s="262">
        <v>0</v>
      </c>
      <c r="K923" s="261">
        <v>0</v>
      </c>
      <c r="L923" s="261">
        <v>0</v>
      </c>
      <c r="M923" s="261">
        <v>0</v>
      </c>
      <c r="N923" s="261">
        <v>0</v>
      </c>
      <c r="O923" s="261">
        <v>0</v>
      </c>
      <c r="P923" s="261">
        <v>0</v>
      </c>
      <c r="Q923" s="261">
        <v>0</v>
      </c>
      <c r="R923" s="261">
        <v>0</v>
      </c>
      <c r="S923" s="261">
        <v>0</v>
      </c>
      <c r="T923" s="261">
        <v>0</v>
      </c>
      <c r="U923" s="264"/>
      <c r="V923" s="264"/>
    </row>
    <row r="924" spans="1:35" s="186" customFormat="1" ht="21.75" customHeight="1" x14ac:dyDescent="0.25">
      <c r="A924" s="322" t="s">
        <v>503</v>
      </c>
      <c r="B924" s="322"/>
      <c r="C924" s="118">
        <f t="shared" ref="C924:T924" si="221">SUM(C925:C938)</f>
        <v>127631734.08000001</v>
      </c>
      <c r="D924" s="118">
        <f t="shared" si="221"/>
        <v>70349931.359999999</v>
      </c>
      <c r="E924" s="118">
        <f t="shared" si="221"/>
        <v>644324.1</v>
      </c>
      <c r="F924" s="118">
        <f t="shared" si="221"/>
        <v>41478546.100000001</v>
      </c>
      <c r="G924" s="118">
        <f t="shared" si="221"/>
        <v>13802410.300000001</v>
      </c>
      <c r="H924" s="118">
        <f t="shared" si="221"/>
        <v>5090223</v>
      </c>
      <c r="I924" s="118">
        <f t="shared" si="221"/>
        <v>9334427.8599999994</v>
      </c>
      <c r="J924" s="119">
        <f t="shared" si="221"/>
        <v>0</v>
      </c>
      <c r="K924" s="118">
        <f t="shared" si="221"/>
        <v>0</v>
      </c>
      <c r="L924" s="118">
        <f t="shared" si="221"/>
        <v>25709251.800000001</v>
      </c>
      <c r="M924" s="118">
        <f t="shared" si="221"/>
        <v>0</v>
      </c>
      <c r="N924" s="118">
        <f t="shared" si="221"/>
        <v>23585763</v>
      </c>
      <c r="O924" s="118">
        <f t="shared" si="221"/>
        <v>0</v>
      </c>
      <c r="P924" s="118">
        <f t="shared" si="221"/>
        <v>5447766</v>
      </c>
      <c r="Q924" s="118">
        <f t="shared" si="221"/>
        <v>0</v>
      </c>
      <c r="R924" s="118">
        <f t="shared" si="221"/>
        <v>2539021.92</v>
      </c>
      <c r="S924" s="118">
        <f t="shared" si="221"/>
        <v>0</v>
      </c>
      <c r="T924" s="118">
        <f t="shared" si="221"/>
        <v>0</v>
      </c>
      <c r="U924" s="238"/>
      <c r="V924" s="238"/>
    </row>
    <row r="925" spans="1:35" s="40" customFormat="1" ht="21.75" customHeight="1" x14ac:dyDescent="0.25">
      <c r="A925" s="293">
        <v>1</v>
      </c>
      <c r="B925" s="294" t="s">
        <v>790</v>
      </c>
      <c r="C925" s="75">
        <f t="shared" ref="C925:C938" si="222">D925+K925+L925+M925+N925+O925+P925+Q925+R925+S925+T925</f>
        <v>257294.64</v>
      </c>
      <c r="D925" s="75">
        <f t="shared" ref="D925:D938" si="223">SUM(E925:I925)</f>
        <v>251903.90000000002</v>
      </c>
      <c r="E925" s="263">
        <v>0</v>
      </c>
      <c r="F925" s="263">
        <v>0</v>
      </c>
      <c r="G925" s="261">
        <v>0</v>
      </c>
      <c r="H925" s="261">
        <v>251903.90000000002</v>
      </c>
      <c r="I925" s="261">
        <v>0</v>
      </c>
      <c r="J925" s="262">
        <v>0</v>
      </c>
      <c r="K925" s="261">
        <v>0</v>
      </c>
      <c r="L925" s="261">
        <v>0</v>
      </c>
      <c r="M925" s="261">
        <v>0</v>
      </c>
      <c r="N925" s="261">
        <v>0</v>
      </c>
      <c r="O925" s="263">
        <v>0</v>
      </c>
      <c r="P925" s="263">
        <v>0</v>
      </c>
      <c r="Q925" s="261">
        <v>0</v>
      </c>
      <c r="R925" s="261">
        <v>5390.74</v>
      </c>
      <c r="S925" s="261">
        <v>0</v>
      </c>
      <c r="T925" s="261">
        <v>0</v>
      </c>
      <c r="U925" s="243"/>
      <c r="V925" s="243"/>
    </row>
    <row r="926" spans="1:35" s="40" customFormat="1" ht="21.75" customHeight="1" x14ac:dyDescent="0.25">
      <c r="A926" s="293">
        <v>2</v>
      </c>
      <c r="B926" s="294" t="s">
        <v>1390</v>
      </c>
      <c r="C926" s="75">
        <f t="shared" si="222"/>
        <v>15946166.02</v>
      </c>
      <c r="D926" s="75">
        <f t="shared" si="223"/>
        <v>14582945</v>
      </c>
      <c r="E926" s="263">
        <v>0</v>
      </c>
      <c r="F926" s="263">
        <v>9562085</v>
      </c>
      <c r="G926" s="261">
        <v>4015667.5</v>
      </c>
      <c r="H926" s="261">
        <v>1005192.5</v>
      </c>
      <c r="I926" s="261">
        <v>0</v>
      </c>
      <c r="J926" s="262">
        <v>0</v>
      </c>
      <c r="K926" s="261">
        <v>0</v>
      </c>
      <c r="L926" s="261">
        <v>0</v>
      </c>
      <c r="M926" s="261">
        <v>0</v>
      </c>
      <c r="N926" s="261">
        <v>0</v>
      </c>
      <c r="O926" s="263">
        <v>0</v>
      </c>
      <c r="P926" s="263">
        <f>700764+350382</f>
        <v>1051146</v>
      </c>
      <c r="Q926" s="261">
        <v>0</v>
      </c>
      <c r="R926" s="261">
        <f>21511.12+85935.28+204628.62</f>
        <v>312075.02</v>
      </c>
      <c r="S926" s="261">
        <v>0</v>
      </c>
      <c r="T926" s="261">
        <v>0</v>
      </c>
      <c r="U926" s="243"/>
      <c r="V926" s="243"/>
    </row>
    <row r="927" spans="1:35" s="40" customFormat="1" ht="21.75" customHeight="1" x14ac:dyDescent="0.25">
      <c r="A927" s="293">
        <v>3</v>
      </c>
      <c r="B927" s="281" t="s">
        <v>730</v>
      </c>
      <c r="C927" s="75">
        <f t="shared" si="222"/>
        <v>2225300.3800000004</v>
      </c>
      <c r="D927" s="75">
        <f t="shared" si="223"/>
        <v>2178676.7000000002</v>
      </c>
      <c r="E927" s="261">
        <v>0</v>
      </c>
      <c r="F927" s="261">
        <v>2178676.7000000002</v>
      </c>
      <c r="G927" s="261">
        <v>0</v>
      </c>
      <c r="H927" s="261">
        <v>0</v>
      </c>
      <c r="I927" s="261">
        <v>0</v>
      </c>
      <c r="J927" s="262">
        <v>0</v>
      </c>
      <c r="K927" s="261">
        <v>0</v>
      </c>
      <c r="L927" s="261">
        <v>0</v>
      </c>
      <c r="M927" s="261">
        <v>0</v>
      </c>
      <c r="N927" s="261">
        <v>0</v>
      </c>
      <c r="O927" s="261">
        <v>0</v>
      </c>
      <c r="P927" s="261">
        <v>0</v>
      </c>
      <c r="Q927" s="261">
        <v>0</v>
      </c>
      <c r="R927" s="261">
        <v>46623.68</v>
      </c>
      <c r="S927" s="261">
        <v>0</v>
      </c>
      <c r="T927" s="261">
        <v>0</v>
      </c>
      <c r="U927" s="253"/>
      <c r="V927" s="253"/>
    </row>
    <row r="928" spans="1:35" s="40" customFormat="1" ht="21.75" customHeight="1" x14ac:dyDescent="0.25">
      <c r="A928" s="293">
        <v>4</v>
      </c>
      <c r="B928" s="281" t="s">
        <v>510</v>
      </c>
      <c r="C928" s="75">
        <f t="shared" si="222"/>
        <v>2960281.95</v>
      </c>
      <c r="D928" s="75">
        <f t="shared" si="223"/>
        <v>0</v>
      </c>
      <c r="E928" s="261">
        <v>0</v>
      </c>
      <c r="F928" s="261">
        <v>0</v>
      </c>
      <c r="G928" s="261">
        <v>0</v>
      </c>
      <c r="H928" s="261">
        <v>0</v>
      </c>
      <c r="I928" s="261">
        <v>0</v>
      </c>
      <c r="J928" s="262">
        <v>0</v>
      </c>
      <c r="K928" s="261">
        <v>0</v>
      </c>
      <c r="L928" s="261">
        <v>2898259.2</v>
      </c>
      <c r="M928" s="261">
        <v>0</v>
      </c>
      <c r="N928" s="261">
        <v>0</v>
      </c>
      <c r="O928" s="261">
        <v>0</v>
      </c>
      <c r="P928" s="261">
        <v>0</v>
      </c>
      <c r="Q928" s="261">
        <v>0</v>
      </c>
      <c r="R928" s="261">
        <v>62022.75</v>
      </c>
      <c r="S928" s="261">
        <v>0</v>
      </c>
      <c r="T928" s="295">
        <v>0</v>
      </c>
      <c r="U928" s="238"/>
      <c r="V928" s="238"/>
    </row>
    <row r="929" spans="1:39" s="40" customFormat="1" ht="21.75" customHeight="1" x14ac:dyDescent="0.25">
      <c r="A929" s="293">
        <v>5</v>
      </c>
      <c r="B929" s="260" t="s">
        <v>792</v>
      </c>
      <c r="C929" s="75">
        <f t="shared" si="222"/>
        <v>1541119.19</v>
      </c>
      <c r="D929" s="75">
        <f t="shared" si="223"/>
        <v>1501273.8599999999</v>
      </c>
      <c r="E929" s="263">
        <v>644324.1</v>
      </c>
      <c r="F929" s="261">
        <v>0</v>
      </c>
      <c r="G929" s="261">
        <v>0</v>
      </c>
      <c r="H929" s="261">
        <v>0</v>
      </c>
      <c r="I929" s="263">
        <v>856949.76000000001</v>
      </c>
      <c r="J929" s="262">
        <v>0</v>
      </c>
      <c r="K929" s="261">
        <v>0</v>
      </c>
      <c r="L929" s="261">
        <v>0</v>
      </c>
      <c r="M929" s="261">
        <v>0</v>
      </c>
      <c r="N929" s="263">
        <v>0</v>
      </c>
      <c r="O929" s="261">
        <v>0</v>
      </c>
      <c r="P929" s="263">
        <v>0</v>
      </c>
      <c r="Q929" s="261">
        <v>0</v>
      </c>
      <c r="R929" s="261">
        <f>18338.72+21506.61</f>
        <v>39845.33</v>
      </c>
      <c r="S929" s="261">
        <v>0</v>
      </c>
      <c r="T929" s="261">
        <v>0</v>
      </c>
      <c r="U929" s="253"/>
      <c r="V929" s="253"/>
    </row>
    <row r="930" spans="1:39" s="40" customFormat="1" ht="21.75" customHeight="1" x14ac:dyDescent="0.25">
      <c r="A930" s="293">
        <v>6</v>
      </c>
      <c r="B930" s="260" t="s">
        <v>793</v>
      </c>
      <c r="C930" s="75">
        <f t="shared" si="222"/>
        <v>3377729.76</v>
      </c>
      <c r="D930" s="75">
        <f t="shared" si="223"/>
        <v>3306960.8</v>
      </c>
      <c r="E930" s="263">
        <v>0</v>
      </c>
      <c r="F930" s="263">
        <v>2069522</v>
      </c>
      <c r="G930" s="261">
        <v>0</v>
      </c>
      <c r="H930" s="263">
        <v>416754</v>
      </c>
      <c r="I930" s="263">
        <v>820684.79999999993</v>
      </c>
      <c r="J930" s="262">
        <v>0</v>
      </c>
      <c r="K930" s="261">
        <v>0</v>
      </c>
      <c r="L930" s="261">
        <v>0</v>
      </c>
      <c r="M930" s="261">
        <v>0</v>
      </c>
      <c r="N930" s="263">
        <v>0</v>
      </c>
      <c r="O930" s="261">
        <v>0</v>
      </c>
      <c r="P930" s="263">
        <v>0</v>
      </c>
      <c r="Q930" s="261">
        <v>0</v>
      </c>
      <c r="R930" s="261">
        <f>17562.65+44287.77+8918.54</f>
        <v>70768.959999999992</v>
      </c>
      <c r="S930" s="261">
        <v>0</v>
      </c>
      <c r="T930" s="261">
        <v>0</v>
      </c>
      <c r="U930" s="253"/>
      <c r="V930" s="253"/>
    </row>
    <row r="931" spans="1:39" s="40" customFormat="1" ht="21.75" customHeight="1" x14ac:dyDescent="0.25">
      <c r="A931" s="293">
        <v>7</v>
      </c>
      <c r="B931" s="260" t="s">
        <v>738</v>
      </c>
      <c r="C931" s="75">
        <f t="shared" si="222"/>
        <v>23299147.84</v>
      </c>
      <c r="D931" s="75">
        <f t="shared" si="223"/>
        <v>0</v>
      </c>
      <c r="E931" s="263">
        <v>0</v>
      </c>
      <c r="F931" s="263">
        <v>0</v>
      </c>
      <c r="G931" s="261">
        <v>0</v>
      </c>
      <c r="H931" s="263">
        <v>0</v>
      </c>
      <c r="I931" s="263">
        <v>0</v>
      </c>
      <c r="J931" s="262">
        <v>0</v>
      </c>
      <c r="K931" s="261">
        <v>0</v>
      </c>
      <c r="L931" s="261">
        <v>22810992.600000001</v>
      </c>
      <c r="M931" s="261">
        <v>0</v>
      </c>
      <c r="N931" s="263">
        <v>0</v>
      </c>
      <c r="O931" s="261">
        <v>0</v>
      </c>
      <c r="P931" s="263">
        <v>0</v>
      </c>
      <c r="Q931" s="261">
        <v>0</v>
      </c>
      <c r="R931" s="261">
        <v>488155.24</v>
      </c>
      <c r="S931" s="261">
        <v>0</v>
      </c>
      <c r="T931" s="261">
        <v>0</v>
      </c>
      <c r="U931" s="238"/>
      <c r="V931" s="238"/>
      <c r="W931" s="276"/>
      <c r="X931" s="276"/>
      <c r="Y931" s="276"/>
      <c r="Z931" s="276"/>
      <c r="AA931" s="276"/>
      <c r="AB931" s="276"/>
      <c r="AC931" s="276"/>
      <c r="AD931" s="276"/>
      <c r="AE931" s="276"/>
      <c r="AF931" s="276"/>
      <c r="AG931" s="276"/>
      <c r="AH931" s="276"/>
      <c r="AI931" s="276"/>
      <c r="AJ931" s="276"/>
      <c r="AK931" s="276"/>
      <c r="AL931" s="276"/>
      <c r="AM931" s="276"/>
    </row>
    <row r="932" spans="1:39" s="40" customFormat="1" ht="21.75" customHeight="1" x14ac:dyDescent="0.25">
      <c r="A932" s="293">
        <v>8</v>
      </c>
      <c r="B932" s="281" t="s">
        <v>1391</v>
      </c>
      <c r="C932" s="75">
        <f t="shared" si="222"/>
        <v>16800610.100000001</v>
      </c>
      <c r="D932" s="75">
        <f t="shared" si="223"/>
        <v>9094428</v>
      </c>
      <c r="E932" s="261">
        <v>0</v>
      </c>
      <c r="F932" s="261">
        <v>5374632</v>
      </c>
      <c r="G932" s="261">
        <v>2257116</v>
      </c>
      <c r="H932" s="261">
        <v>564996</v>
      </c>
      <c r="I932" s="261">
        <v>897684</v>
      </c>
      <c r="J932" s="262">
        <v>0</v>
      </c>
      <c r="K932" s="261">
        <v>0</v>
      </c>
      <c r="L932" s="261">
        <v>0</v>
      </c>
      <c r="M932" s="261">
        <v>0</v>
      </c>
      <c r="N932" s="261">
        <v>6668100</v>
      </c>
      <c r="O932" s="261">
        <v>0</v>
      </c>
      <c r="P932" s="261">
        <f>350382+350382</f>
        <v>700764</v>
      </c>
      <c r="Q932" s="261">
        <v>0</v>
      </c>
      <c r="R932" s="261">
        <v>337318.1</v>
      </c>
      <c r="S932" s="261">
        <v>0</v>
      </c>
      <c r="T932" s="261">
        <v>0</v>
      </c>
      <c r="U932" s="253"/>
      <c r="V932" s="253"/>
      <c r="W932" s="23"/>
      <c r="X932" s="23"/>
      <c r="Y932" s="23"/>
      <c r="Z932" s="23"/>
      <c r="AA932" s="23"/>
      <c r="AB932" s="23"/>
      <c r="AC932" s="23"/>
      <c r="AD932" s="23"/>
      <c r="AE932" s="23"/>
      <c r="AF932" s="23"/>
      <c r="AG932" s="23"/>
      <c r="AH932" s="23"/>
      <c r="AI932" s="23"/>
      <c r="AJ932" s="23"/>
      <c r="AK932" s="23"/>
      <c r="AL932" s="23"/>
      <c r="AM932" s="23"/>
    </row>
    <row r="933" spans="1:39" s="40" customFormat="1" ht="21.75" customHeight="1" x14ac:dyDescent="0.25">
      <c r="A933" s="293">
        <v>9</v>
      </c>
      <c r="B933" s="281" t="s">
        <v>1392</v>
      </c>
      <c r="C933" s="75">
        <f t="shared" si="222"/>
        <v>3932512.0999999996</v>
      </c>
      <c r="D933" s="75">
        <f t="shared" si="223"/>
        <v>3330060.8</v>
      </c>
      <c r="E933" s="261">
        <v>0</v>
      </c>
      <c r="F933" s="261">
        <v>2029403.2</v>
      </c>
      <c r="G933" s="261">
        <v>0</v>
      </c>
      <c r="H933" s="261">
        <v>387367.2</v>
      </c>
      <c r="I933" s="261">
        <v>913290.4</v>
      </c>
      <c r="J933" s="262">
        <v>0</v>
      </c>
      <c r="K933" s="261">
        <v>0</v>
      </c>
      <c r="L933" s="261">
        <v>0</v>
      </c>
      <c r="M933" s="261">
        <v>0</v>
      </c>
      <c r="N933" s="261">
        <v>0</v>
      </c>
      <c r="O933" s="261">
        <v>0</v>
      </c>
      <c r="P933" s="261">
        <f t="shared" ref="P933:P934" si="224">265594+265594</f>
        <v>531188</v>
      </c>
      <c r="Q933" s="261">
        <v>0</v>
      </c>
      <c r="R933" s="261">
        <v>71263.3</v>
      </c>
      <c r="S933" s="261">
        <v>0</v>
      </c>
      <c r="T933" s="261">
        <v>0</v>
      </c>
      <c r="U933" s="253"/>
      <c r="V933" s="253"/>
      <c r="W933" s="23"/>
      <c r="X933" s="23"/>
      <c r="Y933" s="23"/>
      <c r="Z933" s="23"/>
      <c r="AA933" s="23"/>
      <c r="AB933" s="23"/>
      <c r="AC933" s="23"/>
      <c r="AD933" s="23"/>
      <c r="AE933" s="23"/>
      <c r="AF933" s="23"/>
      <c r="AG933" s="23"/>
      <c r="AH933" s="23"/>
      <c r="AI933" s="23"/>
      <c r="AJ933" s="23"/>
      <c r="AK933" s="23"/>
      <c r="AL933" s="23"/>
      <c r="AM933" s="23"/>
    </row>
    <row r="934" spans="1:39" s="40" customFormat="1" ht="21.75" customHeight="1" x14ac:dyDescent="0.25">
      <c r="A934" s="293">
        <v>10</v>
      </c>
      <c r="B934" s="281" t="s">
        <v>1393</v>
      </c>
      <c r="C934" s="75">
        <f t="shared" si="222"/>
        <v>3824057.5</v>
      </c>
      <c r="D934" s="75">
        <f t="shared" si="223"/>
        <v>3223878.5</v>
      </c>
      <c r="E934" s="261">
        <v>0</v>
      </c>
      <c r="F934" s="261">
        <v>1964693.6</v>
      </c>
      <c r="G934" s="261">
        <v>0</v>
      </c>
      <c r="H934" s="261">
        <v>375015.6</v>
      </c>
      <c r="I934" s="261">
        <v>884169.3</v>
      </c>
      <c r="J934" s="262">
        <v>0</v>
      </c>
      <c r="K934" s="261">
        <v>0</v>
      </c>
      <c r="L934" s="261">
        <v>0</v>
      </c>
      <c r="M934" s="261">
        <v>0</v>
      </c>
      <c r="N934" s="261">
        <v>0</v>
      </c>
      <c r="O934" s="261">
        <v>0</v>
      </c>
      <c r="P934" s="261">
        <f t="shared" si="224"/>
        <v>531188</v>
      </c>
      <c r="Q934" s="261">
        <v>0</v>
      </c>
      <c r="R934" s="261">
        <v>68991</v>
      </c>
      <c r="S934" s="261">
        <v>0</v>
      </c>
      <c r="T934" s="261">
        <v>0</v>
      </c>
      <c r="U934" s="253"/>
      <c r="V934" s="253"/>
      <c r="W934" s="23"/>
      <c r="X934" s="23"/>
      <c r="Y934" s="23"/>
      <c r="Z934" s="23"/>
      <c r="AA934" s="23"/>
      <c r="AB934" s="23"/>
      <c r="AC934" s="23"/>
      <c r="AD934" s="23"/>
      <c r="AE934" s="23"/>
      <c r="AF934" s="23"/>
      <c r="AG934" s="23"/>
      <c r="AH934" s="23"/>
      <c r="AI934" s="23"/>
      <c r="AJ934" s="23"/>
      <c r="AK934" s="23"/>
      <c r="AL934" s="23"/>
      <c r="AM934" s="23"/>
    </row>
    <row r="935" spans="1:39" s="40" customFormat="1" ht="21.75" customHeight="1" x14ac:dyDescent="0.25">
      <c r="A935" s="293">
        <v>11</v>
      </c>
      <c r="B935" s="281" t="s">
        <v>1394</v>
      </c>
      <c r="C935" s="75">
        <f t="shared" si="222"/>
        <v>4429830.9400000004</v>
      </c>
      <c r="D935" s="75">
        <f t="shared" si="223"/>
        <v>3816960</v>
      </c>
      <c r="E935" s="261">
        <v>0</v>
      </c>
      <c r="F935" s="261">
        <v>1927520</v>
      </c>
      <c r="G935" s="261">
        <v>654080</v>
      </c>
      <c r="H935" s="261">
        <v>367920</v>
      </c>
      <c r="I935" s="261">
        <v>867440</v>
      </c>
      <c r="J935" s="262">
        <v>0</v>
      </c>
      <c r="K935" s="261">
        <v>0</v>
      </c>
      <c r="L935" s="261">
        <v>0</v>
      </c>
      <c r="M935" s="261">
        <v>0</v>
      </c>
      <c r="N935" s="261">
        <v>0</v>
      </c>
      <c r="O935" s="261">
        <v>0</v>
      </c>
      <c r="P935" s="261">
        <v>531188</v>
      </c>
      <c r="Q935" s="261">
        <v>0</v>
      </c>
      <c r="R935" s="261">
        <v>81682.94</v>
      </c>
      <c r="S935" s="261">
        <v>0</v>
      </c>
      <c r="T935" s="261">
        <v>0</v>
      </c>
      <c r="U935" s="253"/>
      <c r="V935" s="253"/>
      <c r="W935" s="23"/>
      <c r="X935" s="23"/>
      <c r="Y935" s="23"/>
      <c r="Z935" s="23"/>
      <c r="AA935" s="23"/>
      <c r="AB935" s="23"/>
      <c r="AC935" s="23"/>
      <c r="AD935" s="23"/>
      <c r="AE935" s="23"/>
      <c r="AF935" s="23"/>
      <c r="AG935" s="23"/>
      <c r="AH935" s="23"/>
      <c r="AI935" s="23"/>
      <c r="AJ935" s="23"/>
      <c r="AK935" s="23"/>
      <c r="AL935" s="23"/>
      <c r="AM935" s="23"/>
    </row>
    <row r="936" spans="1:39" s="40" customFormat="1" ht="21.75" customHeight="1" x14ac:dyDescent="0.25">
      <c r="A936" s="293">
        <v>12</v>
      </c>
      <c r="B936" s="281" t="s">
        <v>1395</v>
      </c>
      <c r="C936" s="75">
        <f t="shared" si="222"/>
        <v>12916971.32</v>
      </c>
      <c r="D936" s="75">
        <f t="shared" si="223"/>
        <v>8859139.8000000007</v>
      </c>
      <c r="E936" s="261">
        <v>0</v>
      </c>
      <c r="F936" s="261">
        <v>5235581.2</v>
      </c>
      <c r="G936" s="261">
        <v>2198720.6</v>
      </c>
      <c r="H936" s="261">
        <v>550378.6</v>
      </c>
      <c r="I936" s="261">
        <v>874459.4</v>
      </c>
      <c r="J936" s="262">
        <v>0</v>
      </c>
      <c r="K936" s="261">
        <v>0</v>
      </c>
      <c r="L936" s="261">
        <v>0</v>
      </c>
      <c r="M936" s="261">
        <v>0</v>
      </c>
      <c r="N936" s="261">
        <v>3101118</v>
      </c>
      <c r="O936" s="261">
        <v>0</v>
      </c>
      <c r="P936" s="261">
        <f>350382+350382</f>
        <v>700764</v>
      </c>
      <c r="Q936" s="261">
        <v>0</v>
      </c>
      <c r="R936" s="261">
        <v>255949.52</v>
      </c>
      <c r="S936" s="261">
        <v>0</v>
      </c>
      <c r="T936" s="261">
        <v>0</v>
      </c>
      <c r="U936" s="253"/>
      <c r="V936" s="253"/>
      <c r="W936" s="23"/>
      <c r="X936" s="23"/>
      <c r="Y936" s="23"/>
      <c r="Z936" s="23"/>
      <c r="AA936" s="23"/>
      <c r="AB936" s="23"/>
      <c r="AC936" s="23"/>
      <c r="AD936" s="23"/>
      <c r="AE936" s="23"/>
      <c r="AF936" s="23"/>
      <c r="AG936" s="23"/>
      <c r="AH936" s="23"/>
      <c r="AI936" s="23"/>
      <c r="AJ936" s="23"/>
      <c r="AK936" s="23"/>
      <c r="AL936" s="23"/>
      <c r="AM936" s="23"/>
    </row>
    <row r="937" spans="1:39" s="40" customFormat="1" ht="21.75" customHeight="1" x14ac:dyDescent="0.25">
      <c r="A937" s="293">
        <v>13</v>
      </c>
      <c r="B937" s="281" t="s">
        <v>1396</v>
      </c>
      <c r="C937" s="75">
        <f t="shared" si="222"/>
        <v>18163697.670000002</v>
      </c>
      <c r="D937" s="75">
        <f t="shared" si="223"/>
        <v>10456050</v>
      </c>
      <c r="E937" s="261">
        <v>0</v>
      </c>
      <c r="F937" s="263">
        <v>5375756.4000000004</v>
      </c>
      <c r="G937" s="261">
        <v>2257588.2000000002</v>
      </c>
      <c r="H937" s="261">
        <v>565117.19999999995</v>
      </c>
      <c r="I937" s="261">
        <v>2257588.2000000002</v>
      </c>
      <c r="J937" s="262">
        <v>0</v>
      </c>
      <c r="K937" s="261">
        <v>0</v>
      </c>
      <c r="L937" s="261">
        <v>0</v>
      </c>
      <c r="M937" s="261">
        <v>0</v>
      </c>
      <c r="N937" s="261">
        <v>6669495</v>
      </c>
      <c r="O937" s="261">
        <v>0</v>
      </c>
      <c r="P937" s="263">
        <v>700764</v>
      </c>
      <c r="Q937" s="261">
        <v>0</v>
      </c>
      <c r="R937" s="261">
        <v>337388.67</v>
      </c>
      <c r="S937" s="261">
        <v>0</v>
      </c>
      <c r="T937" s="261">
        <v>0</v>
      </c>
      <c r="U937" s="239"/>
      <c r="V937" s="239"/>
      <c r="W937" s="277"/>
      <c r="X937" s="277"/>
      <c r="Y937" s="277"/>
      <c r="Z937" s="277"/>
      <c r="AA937" s="277"/>
      <c r="AB937" s="277"/>
      <c r="AC937" s="277"/>
      <c r="AD937" s="277"/>
      <c r="AE937" s="277"/>
      <c r="AF937" s="277"/>
      <c r="AG937" s="277"/>
      <c r="AH937" s="277"/>
      <c r="AI937" s="277"/>
      <c r="AJ937" s="277"/>
      <c r="AK937" s="277"/>
      <c r="AL937" s="277"/>
      <c r="AM937" s="277"/>
    </row>
    <row r="938" spans="1:39" s="40" customFormat="1" ht="21.75" customHeight="1" x14ac:dyDescent="0.25">
      <c r="A938" s="293">
        <v>14</v>
      </c>
      <c r="B938" s="281" t="s">
        <v>1397</v>
      </c>
      <c r="C938" s="75">
        <f t="shared" si="222"/>
        <v>17957014.670000002</v>
      </c>
      <c r="D938" s="75">
        <f t="shared" si="223"/>
        <v>9747654</v>
      </c>
      <c r="E938" s="263">
        <v>0</v>
      </c>
      <c r="F938" s="263">
        <v>5760676</v>
      </c>
      <c r="G938" s="261">
        <v>2419238</v>
      </c>
      <c r="H938" s="263">
        <v>605578</v>
      </c>
      <c r="I938" s="263">
        <v>962162</v>
      </c>
      <c r="J938" s="262">
        <v>0</v>
      </c>
      <c r="K938" s="261">
        <v>0</v>
      </c>
      <c r="L938" s="261">
        <v>0</v>
      </c>
      <c r="M938" s="261">
        <v>0</v>
      </c>
      <c r="N938" s="261">
        <v>7147050</v>
      </c>
      <c r="O938" s="261">
        <v>0</v>
      </c>
      <c r="P938" s="263">
        <v>700764</v>
      </c>
      <c r="Q938" s="261">
        <v>0</v>
      </c>
      <c r="R938" s="261">
        <v>361546.67</v>
      </c>
      <c r="S938" s="261">
        <v>0</v>
      </c>
      <c r="T938" s="261">
        <v>0</v>
      </c>
      <c r="U938" s="239"/>
      <c r="V938" s="239"/>
      <c r="W938" s="277"/>
      <c r="X938" s="277"/>
      <c r="Y938" s="277"/>
      <c r="Z938" s="277"/>
      <c r="AA938" s="277"/>
      <c r="AB938" s="277"/>
      <c r="AC938" s="277"/>
      <c r="AD938" s="277"/>
      <c r="AE938" s="277"/>
      <c r="AF938" s="277"/>
      <c r="AG938" s="277"/>
      <c r="AH938" s="277"/>
      <c r="AI938" s="277"/>
      <c r="AJ938" s="277"/>
      <c r="AK938" s="277"/>
      <c r="AL938" s="277"/>
      <c r="AM938" s="277"/>
    </row>
    <row r="939" spans="1:39" s="186" customFormat="1" ht="21.75" customHeight="1" x14ac:dyDescent="0.25">
      <c r="A939" s="322" t="s">
        <v>516</v>
      </c>
      <c r="B939" s="322"/>
      <c r="C939" s="118">
        <f t="shared" ref="C939:T939" si="225">SUM(C940:C946)</f>
        <v>39493254.040000007</v>
      </c>
      <c r="D939" s="118">
        <f t="shared" si="225"/>
        <v>16569136.18</v>
      </c>
      <c r="E939" s="118">
        <f t="shared" si="225"/>
        <v>0</v>
      </c>
      <c r="F939" s="118">
        <f t="shared" si="225"/>
        <v>8980261.370000001</v>
      </c>
      <c r="G939" s="118">
        <f t="shared" si="225"/>
        <v>3804598.08</v>
      </c>
      <c r="H939" s="118">
        <f t="shared" si="225"/>
        <v>1228980.19</v>
      </c>
      <c r="I939" s="118">
        <f t="shared" si="225"/>
        <v>2555296.54</v>
      </c>
      <c r="J939" s="119">
        <f t="shared" si="225"/>
        <v>0</v>
      </c>
      <c r="K939" s="118">
        <f t="shared" si="225"/>
        <v>0</v>
      </c>
      <c r="L939" s="118">
        <f t="shared" si="225"/>
        <v>21345617.259999998</v>
      </c>
      <c r="M939" s="118">
        <f t="shared" si="225"/>
        <v>1222277.3999999999</v>
      </c>
      <c r="N939" s="118">
        <f t="shared" si="225"/>
        <v>0</v>
      </c>
      <c r="O939" s="118">
        <f t="shared" si="225"/>
        <v>0</v>
      </c>
      <c r="P939" s="118">
        <f t="shared" si="225"/>
        <v>0</v>
      </c>
      <c r="Q939" s="118">
        <f t="shared" si="225"/>
        <v>0</v>
      </c>
      <c r="R939" s="118">
        <f t="shared" si="225"/>
        <v>356223.19999999995</v>
      </c>
      <c r="S939" s="118">
        <f t="shared" si="225"/>
        <v>0</v>
      </c>
      <c r="T939" s="118">
        <f t="shared" si="225"/>
        <v>0</v>
      </c>
      <c r="U939" s="238"/>
      <c r="V939" s="238"/>
    </row>
    <row r="940" spans="1:39" s="40" customFormat="1" ht="21.75" customHeight="1" x14ac:dyDescent="0.25">
      <c r="A940" s="259">
        <v>1</v>
      </c>
      <c r="B940" s="282" t="s">
        <v>532</v>
      </c>
      <c r="C940" s="75">
        <f t="shared" ref="C940:C946" si="226">D940+K940+L940+M940+N940+O940+P940+Q940+R940+S940+T940</f>
        <v>6958781.1000000006</v>
      </c>
      <c r="D940" s="75">
        <f t="shared" ref="D940:D946" si="227">SUM(E940:I940)</f>
        <v>6958781.1000000006</v>
      </c>
      <c r="E940" s="263">
        <v>0</v>
      </c>
      <c r="F940" s="263">
        <v>4900697.4000000004</v>
      </c>
      <c r="G940" s="261">
        <v>2058083.7</v>
      </c>
      <c r="H940" s="263">
        <v>0</v>
      </c>
      <c r="I940" s="263">
        <v>0</v>
      </c>
      <c r="J940" s="262">
        <v>0</v>
      </c>
      <c r="K940" s="261">
        <v>0</v>
      </c>
      <c r="L940" s="261">
        <v>0</v>
      </c>
      <c r="M940" s="261">
        <v>0</v>
      </c>
      <c r="N940" s="263">
        <v>0</v>
      </c>
      <c r="O940" s="261">
        <v>0</v>
      </c>
      <c r="P940" s="263">
        <v>0</v>
      </c>
      <c r="Q940" s="261">
        <v>0</v>
      </c>
      <c r="R940" s="261">
        <v>0</v>
      </c>
      <c r="S940" s="261">
        <v>0</v>
      </c>
      <c r="T940" s="261">
        <v>0</v>
      </c>
      <c r="U940" s="243"/>
      <c r="V940" s="243"/>
    </row>
    <row r="941" spans="1:39" s="40" customFormat="1" ht="21.75" customHeight="1" x14ac:dyDescent="0.25">
      <c r="A941" s="259">
        <v>2</v>
      </c>
      <c r="B941" s="282" t="s">
        <v>540</v>
      </c>
      <c r="C941" s="75">
        <f t="shared" si="226"/>
        <v>1248434.1399999999</v>
      </c>
      <c r="D941" s="75">
        <f t="shared" si="227"/>
        <v>0</v>
      </c>
      <c r="E941" s="261">
        <v>0</v>
      </c>
      <c r="F941" s="261">
        <v>0</v>
      </c>
      <c r="G941" s="261">
        <v>0</v>
      </c>
      <c r="H941" s="261">
        <v>0</v>
      </c>
      <c r="I941" s="261">
        <v>0</v>
      </c>
      <c r="J941" s="262">
        <v>0</v>
      </c>
      <c r="K941" s="261">
        <v>0</v>
      </c>
      <c r="L941" s="261">
        <v>0</v>
      </c>
      <c r="M941" s="261">
        <v>1222277.3999999999</v>
      </c>
      <c r="N941" s="261">
        <v>0</v>
      </c>
      <c r="O941" s="261">
        <v>0</v>
      </c>
      <c r="P941" s="261">
        <v>0</v>
      </c>
      <c r="Q941" s="261">
        <v>0</v>
      </c>
      <c r="R941" s="290">
        <v>26156.74</v>
      </c>
      <c r="S941" s="261">
        <v>0</v>
      </c>
      <c r="T941" s="261">
        <v>0</v>
      </c>
      <c r="U941" s="243"/>
      <c r="V941" s="243"/>
    </row>
    <row r="942" spans="1:39" s="40" customFormat="1" ht="21.75" customHeight="1" x14ac:dyDescent="0.25">
      <c r="A942" s="259">
        <v>3</v>
      </c>
      <c r="B942" s="282" t="s">
        <v>1398</v>
      </c>
      <c r="C942" s="75">
        <f t="shared" si="226"/>
        <v>15000000</v>
      </c>
      <c r="D942" s="75">
        <f t="shared" si="227"/>
        <v>0</v>
      </c>
      <c r="E942" s="261">
        <v>0</v>
      </c>
      <c r="F942" s="261">
        <v>0</v>
      </c>
      <c r="G942" s="261">
        <v>0</v>
      </c>
      <c r="H942" s="261">
        <v>0</v>
      </c>
      <c r="I942" s="261">
        <v>0</v>
      </c>
      <c r="J942" s="262">
        <v>0</v>
      </c>
      <c r="K942" s="261">
        <v>0</v>
      </c>
      <c r="L942" s="261">
        <v>15000000</v>
      </c>
      <c r="M942" s="261">
        <v>0</v>
      </c>
      <c r="N942" s="261">
        <v>0</v>
      </c>
      <c r="O942" s="261">
        <v>0</v>
      </c>
      <c r="P942" s="261">
        <v>0</v>
      </c>
      <c r="Q942" s="261">
        <v>0</v>
      </c>
      <c r="R942" s="290">
        <v>0</v>
      </c>
      <c r="S942" s="261">
        <v>0</v>
      </c>
      <c r="T942" s="261">
        <v>0</v>
      </c>
      <c r="U942" s="243"/>
      <c r="V942" s="243"/>
    </row>
    <row r="943" spans="1:39" s="40" customFormat="1" ht="21.75" customHeight="1" x14ac:dyDescent="0.25">
      <c r="A943" s="259">
        <v>4</v>
      </c>
      <c r="B943" s="282" t="s">
        <v>541</v>
      </c>
      <c r="C943" s="75">
        <f t="shared" si="226"/>
        <v>4647678.21</v>
      </c>
      <c r="D943" s="75">
        <f t="shared" si="227"/>
        <v>4508680.87</v>
      </c>
      <c r="E943" s="261">
        <v>0</v>
      </c>
      <c r="F943" s="261">
        <v>2004754.87</v>
      </c>
      <c r="G943" s="261">
        <v>874967.39999999991</v>
      </c>
      <c r="H943" s="261">
        <v>548613</v>
      </c>
      <c r="I943" s="261">
        <v>1080345.5999999999</v>
      </c>
      <c r="J943" s="262">
        <v>0</v>
      </c>
      <c r="K943" s="261">
        <v>0</v>
      </c>
      <c r="L943" s="261">
        <v>0</v>
      </c>
      <c r="M943" s="261">
        <v>0</v>
      </c>
      <c r="N943" s="261">
        <v>0</v>
      </c>
      <c r="O943" s="261">
        <v>0</v>
      </c>
      <c r="P943" s="261">
        <v>0</v>
      </c>
      <c r="Q943" s="261">
        <v>0</v>
      </c>
      <c r="R943" s="290">
        <f>23119.4+58300.21+27113.11+18724.3+11740.32</f>
        <v>138997.34</v>
      </c>
      <c r="S943" s="261">
        <v>0</v>
      </c>
      <c r="T943" s="261">
        <v>0</v>
      </c>
      <c r="U943" s="243"/>
      <c r="V943" s="243"/>
    </row>
    <row r="944" spans="1:39" s="40" customFormat="1" ht="21.75" customHeight="1" x14ac:dyDescent="0.25">
      <c r="A944" s="259">
        <v>5</v>
      </c>
      <c r="B944" s="282" t="s">
        <v>796</v>
      </c>
      <c r="C944" s="75">
        <f t="shared" si="226"/>
        <v>1225756.8199999998</v>
      </c>
      <c r="D944" s="75">
        <f t="shared" si="227"/>
        <v>1119897.71</v>
      </c>
      <c r="E944" s="261">
        <v>0</v>
      </c>
      <c r="F944" s="261">
        <v>0</v>
      </c>
      <c r="G944" s="261">
        <v>205179.72</v>
      </c>
      <c r="H944" s="261">
        <v>262548.49</v>
      </c>
      <c r="I944" s="261">
        <v>652169.5</v>
      </c>
      <c r="J944" s="262">
        <v>0</v>
      </c>
      <c r="K944" s="261">
        <v>0</v>
      </c>
      <c r="L944" s="261">
        <v>0</v>
      </c>
      <c r="M944" s="261">
        <v>0</v>
      </c>
      <c r="N944" s="261">
        <v>0</v>
      </c>
      <c r="O944" s="261">
        <v>0</v>
      </c>
      <c r="P944" s="261">
        <v>0</v>
      </c>
      <c r="Q944" s="261">
        <v>0</v>
      </c>
      <c r="R944" s="290">
        <f>17607.52+44400.91+20649.1+14260.26+8941.32</f>
        <v>105859.10999999999</v>
      </c>
      <c r="S944" s="261">
        <v>0</v>
      </c>
      <c r="T944" s="261">
        <v>0</v>
      </c>
      <c r="U944" s="243"/>
      <c r="V944" s="243"/>
    </row>
    <row r="945" spans="1:35" s="40" customFormat="1" ht="21.75" customHeight="1" x14ac:dyDescent="0.25">
      <c r="A945" s="259">
        <v>6</v>
      </c>
      <c r="B945" s="282" t="s">
        <v>546</v>
      </c>
      <c r="C945" s="75">
        <f t="shared" si="226"/>
        <v>4066986.5100000002</v>
      </c>
      <c r="D945" s="75">
        <f t="shared" si="227"/>
        <v>3981776.5000000005</v>
      </c>
      <c r="E945" s="261">
        <v>0</v>
      </c>
      <c r="F945" s="261">
        <v>2074809.1</v>
      </c>
      <c r="G945" s="261">
        <v>666367.26</v>
      </c>
      <c r="H945" s="261">
        <v>417818.7</v>
      </c>
      <c r="I945" s="261">
        <v>822781.44000000006</v>
      </c>
      <c r="J945" s="262">
        <v>0</v>
      </c>
      <c r="K945" s="261">
        <v>0</v>
      </c>
      <c r="L945" s="261">
        <v>0</v>
      </c>
      <c r="M945" s="261">
        <v>0</v>
      </c>
      <c r="N945" s="261">
        <v>0</v>
      </c>
      <c r="O945" s="261">
        <v>0</v>
      </c>
      <c r="P945" s="261">
        <v>0</v>
      </c>
      <c r="Q945" s="261">
        <v>0</v>
      </c>
      <c r="R945" s="290">
        <v>85210.01</v>
      </c>
      <c r="S945" s="261">
        <v>0</v>
      </c>
      <c r="T945" s="261">
        <v>0</v>
      </c>
      <c r="U945" s="243"/>
      <c r="V945" s="243"/>
    </row>
    <row r="946" spans="1:35" s="40" customFormat="1" ht="21.75" customHeight="1" x14ac:dyDescent="0.25">
      <c r="A946" s="259">
        <v>7</v>
      </c>
      <c r="B946" s="282" t="s">
        <v>551</v>
      </c>
      <c r="C946" s="75">
        <f t="shared" si="226"/>
        <v>6345617.2599999998</v>
      </c>
      <c r="D946" s="75">
        <f t="shared" si="227"/>
        <v>0</v>
      </c>
      <c r="E946" s="261">
        <v>0</v>
      </c>
      <c r="F946" s="261">
        <v>0</v>
      </c>
      <c r="G946" s="261">
        <v>0</v>
      </c>
      <c r="H946" s="261">
        <v>0</v>
      </c>
      <c r="I946" s="261">
        <v>0</v>
      </c>
      <c r="J946" s="262">
        <v>0</v>
      </c>
      <c r="K946" s="261">
        <v>0</v>
      </c>
      <c r="L946" s="261">
        <v>6345617.2599999998</v>
      </c>
      <c r="M946" s="261">
        <v>0</v>
      </c>
      <c r="N946" s="261">
        <v>0</v>
      </c>
      <c r="O946" s="261">
        <v>0</v>
      </c>
      <c r="P946" s="261">
        <v>0</v>
      </c>
      <c r="Q946" s="261">
        <v>0</v>
      </c>
      <c r="R946" s="290">
        <v>0</v>
      </c>
      <c r="S946" s="261">
        <v>0</v>
      </c>
      <c r="T946" s="261">
        <v>0</v>
      </c>
      <c r="U946" s="243"/>
      <c r="V946" s="243"/>
    </row>
    <row r="947" spans="1:35" s="40" customFormat="1" x14ac:dyDescent="0.25">
      <c r="A947" s="296"/>
      <c r="B947" s="297"/>
      <c r="C947" s="298"/>
      <c r="D947" s="298"/>
      <c r="E947" s="298"/>
      <c r="F947" s="298"/>
      <c r="G947" s="298"/>
      <c r="H947" s="298"/>
      <c r="I947" s="298"/>
      <c r="J947" s="298"/>
      <c r="K947" s="298"/>
      <c r="L947" s="298"/>
      <c r="M947" s="298"/>
      <c r="N947" s="298"/>
      <c r="O947" s="298"/>
      <c r="P947" s="298"/>
      <c r="Q947" s="298"/>
      <c r="R947" s="298"/>
      <c r="S947" s="298"/>
      <c r="T947" s="298"/>
      <c r="U947" s="264"/>
      <c r="V947" s="264"/>
    </row>
    <row r="948" spans="1:35" s="145" customFormat="1" ht="29.25" customHeight="1" x14ac:dyDescent="0.3">
      <c r="A948" s="355" t="s">
        <v>797</v>
      </c>
      <c r="B948" s="355"/>
      <c r="C948" s="299"/>
      <c r="D948" s="299"/>
      <c r="E948" s="299"/>
      <c r="F948" s="299"/>
      <c r="G948" s="299"/>
      <c r="H948" s="299"/>
      <c r="I948" s="299"/>
      <c r="J948" s="299"/>
      <c r="K948" s="299"/>
      <c r="L948" s="299"/>
      <c r="M948" s="299"/>
      <c r="N948" s="299"/>
      <c r="O948" s="299"/>
      <c r="P948" s="299"/>
      <c r="Q948" s="299"/>
      <c r="R948" s="299"/>
      <c r="S948" s="299"/>
      <c r="T948" s="299"/>
      <c r="U948" s="235"/>
      <c r="V948" s="235"/>
    </row>
    <row r="949" spans="1:35" s="145" customFormat="1" ht="27" customHeight="1" x14ac:dyDescent="0.3">
      <c r="A949" s="351" t="s">
        <v>798</v>
      </c>
      <c r="B949" s="351"/>
      <c r="C949" s="352"/>
      <c r="D949" s="352"/>
      <c r="E949" s="352"/>
      <c r="F949" s="352"/>
      <c r="G949" s="352"/>
      <c r="H949" s="352"/>
      <c r="I949" s="352"/>
      <c r="J949" s="352"/>
      <c r="K949" s="352"/>
      <c r="L949" s="352"/>
      <c r="M949" s="352"/>
      <c r="N949" s="352"/>
      <c r="O949" s="352"/>
      <c r="P949" s="352"/>
      <c r="Q949" s="352"/>
      <c r="R949" s="352"/>
      <c r="S949" s="352"/>
      <c r="T949" s="299"/>
      <c r="U949" s="235"/>
      <c r="V949" s="235"/>
    </row>
    <row r="950" spans="1:35" s="145" customFormat="1" ht="27" customHeight="1" x14ac:dyDescent="0.25">
      <c r="A950" s="353" t="s">
        <v>38</v>
      </c>
      <c r="B950" s="353"/>
      <c r="C950" s="300">
        <f t="shared" ref="C950:T950" si="228">C951+C989+C991+C993+C995+C998+C1013+C1018+C1021+C1026+C1029</f>
        <v>46388429.529999986</v>
      </c>
      <c r="D950" s="300">
        <f t="shared" si="228"/>
        <v>22210280.150000006</v>
      </c>
      <c r="E950" s="300">
        <f t="shared" si="228"/>
        <v>2582619.0300000003</v>
      </c>
      <c r="F950" s="300">
        <f t="shared" si="228"/>
        <v>9280696.0899999999</v>
      </c>
      <c r="G950" s="300">
        <f t="shared" si="228"/>
        <v>4281263.4800000004</v>
      </c>
      <c r="H950" s="300">
        <f t="shared" si="228"/>
        <v>5451406.9899999993</v>
      </c>
      <c r="I950" s="300">
        <f t="shared" si="228"/>
        <v>614294.55999999982</v>
      </c>
      <c r="J950" s="301">
        <f t="shared" si="228"/>
        <v>4</v>
      </c>
      <c r="K950" s="300">
        <f t="shared" si="228"/>
        <v>11175386.35</v>
      </c>
      <c r="L950" s="300">
        <f t="shared" si="228"/>
        <v>4017621.58</v>
      </c>
      <c r="M950" s="300">
        <f t="shared" si="228"/>
        <v>0</v>
      </c>
      <c r="N950" s="300">
        <f t="shared" si="228"/>
        <v>8815531.0899999999</v>
      </c>
      <c r="O950" s="300">
        <f t="shared" si="228"/>
        <v>0</v>
      </c>
      <c r="P950" s="300">
        <f t="shared" si="228"/>
        <v>15000</v>
      </c>
      <c r="Q950" s="300">
        <f t="shared" si="228"/>
        <v>0</v>
      </c>
      <c r="R950" s="300">
        <f t="shared" si="228"/>
        <v>72736</v>
      </c>
      <c r="S950" s="300">
        <f t="shared" si="228"/>
        <v>81874.359999998473</v>
      </c>
      <c r="T950" s="300">
        <f t="shared" si="228"/>
        <v>0</v>
      </c>
      <c r="U950" s="235"/>
      <c r="V950" s="235"/>
    </row>
    <row r="951" spans="1:35" s="145" customFormat="1" ht="27" customHeight="1" x14ac:dyDescent="0.25">
      <c r="A951" s="347" t="s">
        <v>41</v>
      </c>
      <c r="B951" s="347"/>
      <c r="C951" s="295">
        <f t="shared" ref="C951:T951" si="229">SUM(C952:C988)</f>
        <v>28775439.439999998</v>
      </c>
      <c r="D951" s="295">
        <f t="shared" si="229"/>
        <v>14096396.330000004</v>
      </c>
      <c r="E951" s="295">
        <f t="shared" si="229"/>
        <v>2582579.0300000003</v>
      </c>
      <c r="F951" s="295">
        <f t="shared" si="229"/>
        <v>1351297.0699999994</v>
      </c>
      <c r="G951" s="295">
        <f t="shared" si="229"/>
        <v>4600248.08</v>
      </c>
      <c r="H951" s="295">
        <f t="shared" si="229"/>
        <v>4560930.34</v>
      </c>
      <c r="I951" s="295">
        <f t="shared" si="229"/>
        <v>1001341.81</v>
      </c>
      <c r="J951" s="302">
        <f t="shared" si="229"/>
        <v>4</v>
      </c>
      <c r="K951" s="295">
        <f t="shared" si="229"/>
        <v>11175386.35</v>
      </c>
      <c r="L951" s="295">
        <f t="shared" si="229"/>
        <v>0</v>
      </c>
      <c r="M951" s="295">
        <f t="shared" si="229"/>
        <v>0</v>
      </c>
      <c r="N951" s="295">
        <f t="shared" si="229"/>
        <v>3386044.4000000004</v>
      </c>
      <c r="O951" s="295">
        <f t="shared" si="229"/>
        <v>0</v>
      </c>
      <c r="P951" s="295">
        <f t="shared" si="229"/>
        <v>0</v>
      </c>
      <c r="Q951" s="295">
        <f t="shared" si="229"/>
        <v>0</v>
      </c>
      <c r="R951" s="295">
        <f t="shared" si="229"/>
        <v>35738</v>
      </c>
      <c r="S951" s="295">
        <f t="shared" si="229"/>
        <v>81874.359999998473</v>
      </c>
      <c r="T951" s="295">
        <f t="shared" si="229"/>
        <v>0</v>
      </c>
      <c r="U951" s="238"/>
      <c r="V951" s="238"/>
      <c r="W951" s="186"/>
      <c r="X951" s="186"/>
      <c r="Y951" s="186"/>
      <c r="Z951" s="186"/>
      <c r="AA951" s="186"/>
      <c r="AB951" s="186"/>
      <c r="AC951" s="186"/>
      <c r="AD951" s="186"/>
      <c r="AE951" s="186"/>
      <c r="AF951" s="186"/>
      <c r="AG951" s="186"/>
      <c r="AH951" s="186"/>
      <c r="AI951" s="186"/>
    </row>
    <row r="952" spans="1:35" s="145" customFormat="1" ht="27" customHeight="1" x14ac:dyDescent="0.25">
      <c r="A952" s="259">
        <v>1</v>
      </c>
      <c r="B952" s="274" t="s">
        <v>799</v>
      </c>
      <c r="C952" s="261">
        <f t="shared" ref="C952:C988" si="230">D952+K952+L952+M952+N952+O952+P952+Q952+R952+S952+T952</f>
        <v>241914</v>
      </c>
      <c r="D952" s="261">
        <f t="shared" ref="D952:D988" si="231">SUM(E952:I952)</f>
        <v>241914</v>
      </c>
      <c r="E952" s="263">
        <v>0</v>
      </c>
      <c r="F952" s="261">
        <v>0</v>
      </c>
      <c r="G952" s="261">
        <v>0</v>
      </c>
      <c r="H952" s="263">
        <v>0</v>
      </c>
      <c r="I952" s="263">
        <v>241914</v>
      </c>
      <c r="J952" s="262">
        <v>0</v>
      </c>
      <c r="K952" s="261">
        <v>0</v>
      </c>
      <c r="L952" s="263">
        <v>0</v>
      </c>
      <c r="M952" s="261">
        <v>0</v>
      </c>
      <c r="N952" s="261">
        <v>0</v>
      </c>
      <c r="O952" s="261">
        <v>0</v>
      </c>
      <c r="P952" s="263">
        <v>0</v>
      </c>
      <c r="Q952" s="261">
        <v>0</v>
      </c>
      <c r="R952" s="261">
        <v>0</v>
      </c>
      <c r="S952" s="261">
        <v>0</v>
      </c>
      <c r="T952" s="261">
        <v>0</v>
      </c>
      <c r="U952" s="238"/>
      <c r="V952" s="238"/>
      <c r="W952" s="40"/>
      <c r="X952" s="40"/>
      <c r="Y952" s="40"/>
      <c r="Z952" s="40"/>
      <c r="AA952" s="40"/>
      <c r="AB952" s="40"/>
      <c r="AC952" s="40"/>
      <c r="AD952" s="40"/>
      <c r="AE952" s="40"/>
      <c r="AF952" s="40"/>
      <c r="AG952" s="40"/>
      <c r="AH952" s="40"/>
      <c r="AI952" s="40"/>
    </row>
    <row r="953" spans="1:35" s="145" customFormat="1" ht="27" customHeight="1" x14ac:dyDescent="0.25">
      <c r="A953" s="259">
        <v>2</v>
      </c>
      <c r="B953" s="274" t="s">
        <v>800</v>
      </c>
      <c r="C953" s="261">
        <f t="shared" si="230"/>
        <v>2910900</v>
      </c>
      <c r="D953" s="261">
        <f t="shared" si="231"/>
        <v>0</v>
      </c>
      <c r="E953" s="263">
        <v>0</v>
      </c>
      <c r="F953" s="261">
        <v>0</v>
      </c>
      <c r="G953" s="263">
        <v>0</v>
      </c>
      <c r="H953" s="263">
        <v>0</v>
      </c>
      <c r="I953" s="263">
        <v>0</v>
      </c>
      <c r="J953" s="262">
        <v>0</v>
      </c>
      <c r="K953" s="261">
        <v>0</v>
      </c>
      <c r="L953" s="261">
        <v>0</v>
      </c>
      <c r="M953" s="261">
        <v>0</v>
      </c>
      <c r="N953" s="263">
        <v>2910900</v>
      </c>
      <c r="O953" s="261">
        <v>0</v>
      </c>
      <c r="P953" s="263">
        <v>0</v>
      </c>
      <c r="Q953" s="261">
        <v>0</v>
      </c>
      <c r="R953" s="261">
        <v>0</v>
      </c>
      <c r="S953" s="261">
        <v>0</v>
      </c>
      <c r="T953" s="261">
        <v>0</v>
      </c>
      <c r="U953" s="238"/>
      <c r="V953" s="238"/>
      <c r="W953" s="40"/>
      <c r="X953" s="40"/>
      <c r="Y953" s="40"/>
      <c r="Z953" s="40"/>
      <c r="AA953" s="40"/>
      <c r="AB953" s="40"/>
      <c r="AC953" s="40"/>
      <c r="AD953" s="40"/>
      <c r="AE953" s="40"/>
      <c r="AF953" s="40"/>
      <c r="AG953" s="40"/>
      <c r="AH953" s="40"/>
      <c r="AI953" s="40"/>
    </row>
    <row r="954" spans="1:35" s="145" customFormat="1" ht="27" customHeight="1" x14ac:dyDescent="0.25">
      <c r="A954" s="259">
        <v>3</v>
      </c>
      <c r="B954" s="274" t="s">
        <v>801</v>
      </c>
      <c r="C954" s="261">
        <f t="shared" si="230"/>
        <v>-5916708.8200000003</v>
      </c>
      <c r="D954" s="261">
        <f t="shared" si="231"/>
        <v>0</v>
      </c>
      <c r="E954" s="263">
        <v>0</v>
      </c>
      <c r="F954" s="261">
        <v>0</v>
      </c>
      <c r="G954" s="261">
        <v>0</v>
      </c>
      <c r="H954" s="263">
        <v>0</v>
      </c>
      <c r="I954" s="261">
        <v>0</v>
      </c>
      <c r="J954" s="262">
        <v>0</v>
      </c>
      <c r="K954" s="261">
        <v>-5916708.8200000003</v>
      </c>
      <c r="L954" s="261">
        <v>0</v>
      </c>
      <c r="M954" s="261">
        <v>0</v>
      </c>
      <c r="N954" s="263">
        <v>0</v>
      </c>
      <c r="O954" s="261">
        <v>0</v>
      </c>
      <c r="P954" s="263">
        <v>0</v>
      </c>
      <c r="Q954" s="261">
        <v>0</v>
      </c>
      <c r="R954" s="261">
        <v>0</v>
      </c>
      <c r="S954" s="261">
        <v>0</v>
      </c>
      <c r="T954" s="261">
        <v>0</v>
      </c>
      <c r="U954" s="238"/>
      <c r="V954" s="238"/>
      <c r="W954" s="40"/>
      <c r="X954" s="40"/>
      <c r="Y954" s="40"/>
      <c r="Z954" s="40"/>
      <c r="AA954" s="40"/>
      <c r="AB954" s="40"/>
      <c r="AC954" s="40"/>
      <c r="AD954" s="40"/>
      <c r="AE954" s="40"/>
      <c r="AF954" s="40"/>
      <c r="AG954" s="40"/>
      <c r="AH954" s="40"/>
      <c r="AI954" s="40"/>
    </row>
    <row r="955" spans="1:35" s="145" customFormat="1" ht="27" customHeight="1" x14ac:dyDescent="0.25">
      <c r="A955" s="259"/>
      <c r="B955" s="274" t="s">
        <v>801</v>
      </c>
      <c r="C955" s="261">
        <f t="shared" si="230"/>
        <v>5957481.9800000004</v>
      </c>
      <c r="D955" s="261">
        <f t="shared" si="231"/>
        <v>0</v>
      </c>
      <c r="E955" s="263">
        <v>0</v>
      </c>
      <c r="F955" s="261">
        <v>0</v>
      </c>
      <c r="G955" s="261">
        <v>0</v>
      </c>
      <c r="H955" s="263">
        <v>0</v>
      </c>
      <c r="I955" s="261">
        <v>0</v>
      </c>
      <c r="J955" s="262">
        <v>0</v>
      </c>
      <c r="K955" s="261">
        <v>5957481.9800000004</v>
      </c>
      <c r="L955" s="261">
        <v>0</v>
      </c>
      <c r="M955" s="261">
        <v>0</v>
      </c>
      <c r="N955" s="263">
        <v>0</v>
      </c>
      <c r="O955" s="261">
        <v>0</v>
      </c>
      <c r="P955" s="263">
        <v>0</v>
      </c>
      <c r="Q955" s="261">
        <v>0</v>
      </c>
      <c r="R955" s="261">
        <v>0</v>
      </c>
      <c r="S955" s="261">
        <v>0</v>
      </c>
      <c r="T955" s="261">
        <v>0</v>
      </c>
      <c r="U955" s="238"/>
      <c r="V955" s="238"/>
      <c r="W955" s="40"/>
      <c r="X955" s="40"/>
      <c r="Y955" s="40"/>
      <c r="Z955" s="40"/>
      <c r="AA955" s="40"/>
      <c r="AB955" s="40"/>
      <c r="AC955" s="40"/>
      <c r="AD955" s="40"/>
      <c r="AE955" s="40"/>
      <c r="AF955" s="40"/>
      <c r="AG955" s="40"/>
      <c r="AH955" s="40"/>
      <c r="AI955" s="40"/>
    </row>
    <row r="956" spans="1:35" s="145" customFormat="1" ht="27" customHeight="1" x14ac:dyDescent="0.25">
      <c r="A956" s="259">
        <v>3</v>
      </c>
      <c r="B956" s="274" t="s">
        <v>802</v>
      </c>
      <c r="C956" s="261">
        <f t="shared" si="230"/>
        <v>-5149178.95</v>
      </c>
      <c r="D956" s="261">
        <f t="shared" si="231"/>
        <v>0</v>
      </c>
      <c r="E956" s="263">
        <v>0</v>
      </c>
      <c r="F956" s="261">
        <v>0</v>
      </c>
      <c r="G956" s="261">
        <v>0</v>
      </c>
      <c r="H956" s="263">
        <v>0</v>
      </c>
      <c r="I956" s="261">
        <v>0</v>
      </c>
      <c r="J956" s="262">
        <v>0</v>
      </c>
      <c r="K956" s="261">
        <v>-5149178.95</v>
      </c>
      <c r="L956" s="261">
        <v>0</v>
      </c>
      <c r="M956" s="261">
        <v>0</v>
      </c>
      <c r="N956" s="263">
        <v>0</v>
      </c>
      <c r="O956" s="261">
        <v>0</v>
      </c>
      <c r="P956" s="263">
        <v>0</v>
      </c>
      <c r="Q956" s="261">
        <v>0</v>
      </c>
      <c r="R956" s="261">
        <v>0</v>
      </c>
      <c r="S956" s="261">
        <v>0</v>
      </c>
      <c r="T956" s="261">
        <v>0</v>
      </c>
      <c r="U956" s="238"/>
      <c r="V956" s="238"/>
      <c r="W956" s="40"/>
      <c r="X956" s="40"/>
      <c r="Y956" s="40"/>
      <c r="Z956" s="40"/>
      <c r="AA956" s="40"/>
      <c r="AB956" s="40"/>
      <c r="AC956" s="40"/>
      <c r="AD956" s="40"/>
      <c r="AE956" s="40"/>
      <c r="AF956" s="40"/>
      <c r="AG956" s="40"/>
      <c r="AH956" s="40"/>
      <c r="AI956" s="40"/>
    </row>
    <row r="957" spans="1:35" s="145" customFormat="1" ht="27" customHeight="1" x14ac:dyDescent="0.25">
      <c r="A957" s="259"/>
      <c r="B957" s="274" t="s">
        <v>802</v>
      </c>
      <c r="C957" s="261">
        <f t="shared" si="230"/>
        <v>5353057.2</v>
      </c>
      <c r="D957" s="261">
        <f t="shared" si="231"/>
        <v>0</v>
      </c>
      <c r="E957" s="263">
        <v>0</v>
      </c>
      <c r="F957" s="261">
        <v>0</v>
      </c>
      <c r="G957" s="261">
        <v>0</v>
      </c>
      <c r="H957" s="263">
        <v>0</v>
      </c>
      <c r="I957" s="261">
        <v>0</v>
      </c>
      <c r="J957" s="262">
        <v>0</v>
      </c>
      <c r="K957" s="261">
        <v>5353057.2</v>
      </c>
      <c r="L957" s="261">
        <v>0</v>
      </c>
      <c r="M957" s="261">
        <v>0</v>
      </c>
      <c r="N957" s="263">
        <v>0</v>
      </c>
      <c r="O957" s="261">
        <v>0</v>
      </c>
      <c r="P957" s="263">
        <v>0</v>
      </c>
      <c r="Q957" s="261">
        <v>0</v>
      </c>
      <c r="R957" s="261">
        <v>0</v>
      </c>
      <c r="S957" s="261">
        <v>0</v>
      </c>
      <c r="T957" s="261">
        <v>0</v>
      </c>
      <c r="U957" s="238"/>
      <c r="V957" s="238"/>
      <c r="W957" s="40"/>
      <c r="X957" s="40"/>
      <c r="Y957" s="40"/>
      <c r="Z957" s="40"/>
      <c r="AA957" s="40"/>
      <c r="AB957" s="40"/>
      <c r="AC957" s="40"/>
      <c r="AD957" s="40"/>
      <c r="AE957" s="40"/>
      <c r="AF957" s="40"/>
      <c r="AG957" s="40"/>
      <c r="AH957" s="40"/>
      <c r="AI957" s="40"/>
    </row>
    <row r="958" spans="1:35" s="145" customFormat="1" ht="27" customHeight="1" x14ac:dyDescent="0.25">
      <c r="A958" s="259">
        <v>4</v>
      </c>
      <c r="B958" s="274" t="s">
        <v>583</v>
      </c>
      <c r="C958" s="261">
        <f t="shared" si="230"/>
        <v>1494789.08</v>
      </c>
      <c r="D958" s="261">
        <f t="shared" si="231"/>
        <v>1494789.08</v>
      </c>
      <c r="E958" s="263">
        <v>1494789.08</v>
      </c>
      <c r="F958" s="261">
        <v>0</v>
      </c>
      <c r="G958" s="263">
        <v>0</v>
      </c>
      <c r="H958" s="263">
        <v>0</v>
      </c>
      <c r="I958" s="263">
        <v>0</v>
      </c>
      <c r="J958" s="262">
        <v>0</v>
      </c>
      <c r="K958" s="261">
        <v>0</v>
      </c>
      <c r="L958" s="261">
        <v>0</v>
      </c>
      <c r="M958" s="261">
        <v>0</v>
      </c>
      <c r="N958" s="263">
        <v>0</v>
      </c>
      <c r="O958" s="261">
        <v>0</v>
      </c>
      <c r="P958" s="263">
        <v>0</v>
      </c>
      <c r="Q958" s="261">
        <v>0</v>
      </c>
      <c r="R958" s="261">
        <v>0</v>
      </c>
      <c r="S958" s="261">
        <v>0</v>
      </c>
      <c r="T958" s="261">
        <v>0</v>
      </c>
      <c r="U958" s="238"/>
      <c r="V958" s="238"/>
      <c r="W958" s="40"/>
      <c r="X958" s="40"/>
      <c r="Y958" s="40"/>
      <c r="Z958" s="40"/>
      <c r="AA958" s="40"/>
      <c r="AB958" s="40"/>
      <c r="AC958" s="40"/>
      <c r="AD958" s="40"/>
      <c r="AE958" s="40"/>
      <c r="AF958" s="40"/>
      <c r="AG958" s="40"/>
      <c r="AH958" s="40"/>
      <c r="AI958" s="40"/>
    </row>
    <row r="959" spans="1:35" s="145" customFormat="1" ht="27" customHeight="1" x14ac:dyDescent="0.25">
      <c r="A959" s="259">
        <v>5</v>
      </c>
      <c r="B959" s="274" t="s">
        <v>803</v>
      </c>
      <c r="C959" s="261">
        <f t="shared" si="230"/>
        <v>-6243297.3399999999</v>
      </c>
      <c r="D959" s="261">
        <f t="shared" si="231"/>
        <v>0</v>
      </c>
      <c r="E959" s="263">
        <v>0</v>
      </c>
      <c r="F959" s="261">
        <v>0</v>
      </c>
      <c r="G959" s="261">
        <v>0</v>
      </c>
      <c r="H959" s="263">
        <v>0</v>
      </c>
      <c r="I959" s="261">
        <v>0</v>
      </c>
      <c r="J959" s="262">
        <v>0</v>
      </c>
      <c r="K959" s="261">
        <v>0</v>
      </c>
      <c r="L959" s="261">
        <v>0</v>
      </c>
      <c r="M959" s="261">
        <v>0</v>
      </c>
      <c r="N959" s="263">
        <v>0</v>
      </c>
      <c r="O959" s="261">
        <v>0</v>
      </c>
      <c r="P959" s="263">
        <v>0</v>
      </c>
      <c r="Q959" s="261">
        <v>0</v>
      </c>
      <c r="R959" s="261">
        <v>0</v>
      </c>
      <c r="S959" s="261">
        <v>-6243297.3399999999</v>
      </c>
      <c r="T959" s="261">
        <v>0</v>
      </c>
      <c r="U959" s="238"/>
      <c r="V959" s="238"/>
      <c r="W959" s="40"/>
      <c r="X959" s="40"/>
      <c r="Y959" s="40"/>
      <c r="Z959" s="40"/>
      <c r="AA959" s="40"/>
      <c r="AB959" s="40"/>
      <c r="AC959" s="40"/>
      <c r="AD959" s="40"/>
      <c r="AE959" s="40"/>
      <c r="AF959" s="40"/>
      <c r="AG959" s="40"/>
      <c r="AH959" s="40"/>
      <c r="AI959" s="40"/>
    </row>
    <row r="960" spans="1:35" s="145" customFormat="1" ht="27" customHeight="1" x14ac:dyDescent="0.25">
      <c r="A960" s="259"/>
      <c r="B960" s="274" t="s">
        <v>803</v>
      </c>
      <c r="C960" s="261">
        <f t="shared" si="230"/>
        <v>6029143.8399999999</v>
      </c>
      <c r="D960" s="261">
        <f t="shared" si="231"/>
        <v>0</v>
      </c>
      <c r="E960" s="263">
        <v>0</v>
      </c>
      <c r="F960" s="261">
        <v>0</v>
      </c>
      <c r="G960" s="261">
        <v>0</v>
      </c>
      <c r="H960" s="263">
        <v>0</v>
      </c>
      <c r="I960" s="261">
        <v>0</v>
      </c>
      <c r="J960" s="262">
        <v>0</v>
      </c>
      <c r="K960" s="261">
        <v>0</v>
      </c>
      <c r="L960" s="261">
        <v>0</v>
      </c>
      <c r="M960" s="261">
        <v>0</v>
      </c>
      <c r="N960" s="263">
        <v>0</v>
      </c>
      <c r="O960" s="261">
        <v>0</v>
      </c>
      <c r="P960" s="263">
        <v>0</v>
      </c>
      <c r="Q960" s="261">
        <v>0</v>
      </c>
      <c r="R960" s="261">
        <v>0</v>
      </c>
      <c r="S960" s="261">
        <v>6029143.8399999999</v>
      </c>
      <c r="T960" s="261">
        <v>0</v>
      </c>
      <c r="U960" s="238"/>
      <c r="V960" s="238"/>
      <c r="W960" s="40"/>
      <c r="X960" s="40"/>
      <c r="Y960" s="40"/>
      <c r="Z960" s="40"/>
      <c r="AA960" s="40"/>
      <c r="AB960" s="40"/>
      <c r="AC960" s="40"/>
      <c r="AD960" s="40"/>
      <c r="AE960" s="40"/>
      <c r="AF960" s="40"/>
      <c r="AG960" s="40"/>
      <c r="AH960" s="40"/>
      <c r="AI960" s="40"/>
    </row>
    <row r="961" spans="1:35" s="145" customFormat="1" ht="27" customHeight="1" x14ac:dyDescent="0.25">
      <c r="A961" s="259">
        <v>6</v>
      </c>
      <c r="B961" s="274" t="s">
        <v>804</v>
      </c>
      <c r="C961" s="261">
        <f t="shared" si="230"/>
        <v>-5040429.5999999996</v>
      </c>
      <c r="D961" s="261">
        <f t="shared" si="231"/>
        <v>0</v>
      </c>
      <c r="E961" s="263">
        <v>0</v>
      </c>
      <c r="F961" s="261">
        <v>0</v>
      </c>
      <c r="G961" s="261">
        <v>0</v>
      </c>
      <c r="H961" s="263">
        <v>0</v>
      </c>
      <c r="I961" s="261">
        <v>0</v>
      </c>
      <c r="J961" s="262">
        <v>0</v>
      </c>
      <c r="K961" s="261">
        <v>0</v>
      </c>
      <c r="L961" s="261">
        <v>0</v>
      </c>
      <c r="M961" s="261">
        <v>0</v>
      </c>
      <c r="N961" s="263">
        <v>-5040429.5999999996</v>
      </c>
      <c r="O961" s="261">
        <v>0</v>
      </c>
      <c r="P961" s="263">
        <v>0</v>
      </c>
      <c r="Q961" s="261">
        <v>0</v>
      </c>
      <c r="R961" s="261">
        <v>0</v>
      </c>
      <c r="S961" s="261">
        <v>0</v>
      </c>
      <c r="T961" s="261">
        <v>0</v>
      </c>
      <c r="U961" s="238"/>
      <c r="V961" s="238"/>
      <c r="W961" s="40"/>
      <c r="X961" s="40"/>
      <c r="Y961" s="40"/>
      <c r="Z961" s="40"/>
      <c r="AA961" s="40"/>
      <c r="AB961" s="40"/>
      <c r="AC961" s="40"/>
      <c r="AD961" s="40"/>
      <c r="AE961" s="40"/>
      <c r="AF961" s="40"/>
      <c r="AG961" s="40"/>
      <c r="AH961" s="40"/>
      <c r="AI961" s="40"/>
    </row>
    <row r="962" spans="1:35" s="145" customFormat="1" ht="27" customHeight="1" x14ac:dyDescent="0.25">
      <c r="A962" s="259"/>
      <c r="B962" s="274" t="s">
        <v>804</v>
      </c>
      <c r="C962" s="261">
        <f t="shared" si="230"/>
        <v>5555044</v>
      </c>
      <c r="D962" s="261">
        <f t="shared" si="231"/>
        <v>0</v>
      </c>
      <c r="E962" s="263">
        <v>0</v>
      </c>
      <c r="F962" s="261">
        <v>0</v>
      </c>
      <c r="G962" s="261">
        <v>0</v>
      </c>
      <c r="H962" s="263">
        <v>0</v>
      </c>
      <c r="I962" s="261">
        <v>0</v>
      </c>
      <c r="J962" s="262">
        <v>0</v>
      </c>
      <c r="K962" s="261">
        <v>0</v>
      </c>
      <c r="L962" s="261">
        <v>0</v>
      </c>
      <c r="M962" s="261">
        <v>0</v>
      </c>
      <c r="N962" s="263">
        <v>5555044</v>
      </c>
      <c r="O962" s="261">
        <v>0</v>
      </c>
      <c r="P962" s="263">
        <v>0</v>
      </c>
      <c r="Q962" s="261">
        <v>0</v>
      </c>
      <c r="R962" s="261">
        <v>0</v>
      </c>
      <c r="S962" s="261">
        <v>0</v>
      </c>
      <c r="T962" s="261">
        <v>0</v>
      </c>
      <c r="U962" s="238"/>
      <c r="V962" s="238"/>
      <c r="W962" s="40"/>
      <c r="X962" s="40"/>
      <c r="Y962" s="40"/>
      <c r="Z962" s="40"/>
      <c r="AA962" s="40"/>
      <c r="AB962" s="40"/>
      <c r="AC962" s="40"/>
      <c r="AD962" s="40"/>
      <c r="AE962" s="40"/>
      <c r="AF962" s="40"/>
      <c r="AG962" s="40"/>
      <c r="AH962" s="40"/>
      <c r="AI962" s="40"/>
    </row>
    <row r="963" spans="1:35" s="145" customFormat="1" ht="27" customHeight="1" x14ac:dyDescent="0.25">
      <c r="A963" s="259">
        <v>7</v>
      </c>
      <c r="B963" s="274" t="s">
        <v>805</v>
      </c>
      <c r="C963" s="261">
        <f t="shared" si="230"/>
        <v>-6359734.96</v>
      </c>
      <c r="D963" s="261">
        <f t="shared" si="231"/>
        <v>0</v>
      </c>
      <c r="E963" s="263">
        <v>0</v>
      </c>
      <c r="F963" s="261">
        <v>0</v>
      </c>
      <c r="G963" s="261">
        <v>0</v>
      </c>
      <c r="H963" s="263">
        <v>0</v>
      </c>
      <c r="I963" s="261">
        <v>0</v>
      </c>
      <c r="J963" s="262">
        <v>0</v>
      </c>
      <c r="K963" s="261">
        <v>-6359734.96</v>
      </c>
      <c r="L963" s="261">
        <v>0</v>
      </c>
      <c r="M963" s="261">
        <v>0</v>
      </c>
      <c r="N963" s="263">
        <v>0</v>
      </c>
      <c r="O963" s="261">
        <v>0</v>
      </c>
      <c r="P963" s="263">
        <v>0</v>
      </c>
      <c r="Q963" s="261">
        <v>0</v>
      </c>
      <c r="R963" s="261">
        <v>0</v>
      </c>
      <c r="S963" s="261">
        <v>0</v>
      </c>
      <c r="T963" s="261">
        <v>0</v>
      </c>
      <c r="U963" s="238"/>
      <c r="V963" s="238"/>
      <c r="W963" s="40"/>
      <c r="X963" s="40"/>
      <c r="Y963" s="40"/>
      <c r="Z963" s="40"/>
      <c r="AA963" s="40"/>
      <c r="AB963" s="40"/>
      <c r="AC963" s="40"/>
      <c r="AD963" s="40"/>
      <c r="AE963" s="40"/>
      <c r="AF963" s="40"/>
      <c r="AG963" s="40"/>
      <c r="AH963" s="40"/>
      <c r="AI963" s="40"/>
    </row>
    <row r="964" spans="1:35" s="145" customFormat="1" ht="27" customHeight="1" x14ac:dyDescent="0.25">
      <c r="A964" s="259"/>
      <c r="B964" s="274" t="s">
        <v>805</v>
      </c>
      <c r="C964" s="261">
        <f t="shared" si="230"/>
        <v>6472054.7699999996</v>
      </c>
      <c r="D964" s="261">
        <f t="shared" si="231"/>
        <v>0</v>
      </c>
      <c r="E964" s="263">
        <v>0</v>
      </c>
      <c r="F964" s="261">
        <v>0</v>
      </c>
      <c r="G964" s="261">
        <v>0</v>
      </c>
      <c r="H964" s="263">
        <v>0</v>
      </c>
      <c r="I964" s="261">
        <v>0</v>
      </c>
      <c r="J964" s="262">
        <v>0</v>
      </c>
      <c r="K964" s="261">
        <v>6472054.7699999996</v>
      </c>
      <c r="L964" s="261">
        <v>0</v>
      </c>
      <c r="M964" s="261">
        <v>0</v>
      </c>
      <c r="N964" s="263">
        <v>0</v>
      </c>
      <c r="O964" s="261">
        <v>0</v>
      </c>
      <c r="P964" s="263">
        <v>0</v>
      </c>
      <c r="Q964" s="261">
        <v>0</v>
      </c>
      <c r="R964" s="261">
        <v>0</v>
      </c>
      <c r="S964" s="261">
        <v>0</v>
      </c>
      <c r="T964" s="261">
        <v>0</v>
      </c>
      <c r="U964" s="238"/>
      <c r="V964" s="238"/>
      <c r="W964" s="40"/>
      <c r="X964" s="40"/>
      <c r="Y964" s="40"/>
      <c r="Z964" s="40"/>
      <c r="AA964" s="40"/>
      <c r="AB964" s="40"/>
      <c r="AC964" s="40"/>
      <c r="AD964" s="40"/>
      <c r="AE964" s="40"/>
      <c r="AF964" s="40"/>
      <c r="AG964" s="40"/>
      <c r="AH964" s="40"/>
      <c r="AI964" s="40"/>
    </row>
    <row r="965" spans="1:35" s="145" customFormat="1" ht="27" customHeight="1" x14ac:dyDescent="0.25">
      <c r="A965" s="259">
        <v>8</v>
      </c>
      <c r="B965" s="274" t="s">
        <v>806</v>
      </c>
      <c r="C965" s="261">
        <f t="shared" si="230"/>
        <v>5120728.3900000006</v>
      </c>
      <c r="D965" s="261">
        <f t="shared" si="231"/>
        <v>5120728.3900000006</v>
      </c>
      <c r="E965" s="263">
        <v>0</v>
      </c>
      <c r="F965" s="261">
        <v>0</v>
      </c>
      <c r="G965" s="263">
        <v>2498422.7400000002</v>
      </c>
      <c r="H965" s="263">
        <v>2622305.65</v>
      </c>
      <c r="I965" s="263">
        <v>0</v>
      </c>
      <c r="J965" s="262">
        <v>0</v>
      </c>
      <c r="K965" s="261">
        <v>0</v>
      </c>
      <c r="L965" s="261">
        <v>0</v>
      </c>
      <c r="M965" s="261">
        <v>0</v>
      </c>
      <c r="N965" s="263">
        <v>0</v>
      </c>
      <c r="O965" s="261">
        <v>0</v>
      </c>
      <c r="P965" s="263">
        <v>0</v>
      </c>
      <c r="Q965" s="261">
        <v>0</v>
      </c>
      <c r="R965" s="261">
        <v>0</v>
      </c>
      <c r="S965" s="261">
        <v>0</v>
      </c>
      <c r="T965" s="261">
        <v>0</v>
      </c>
      <c r="U965" s="238"/>
      <c r="V965" s="238"/>
      <c r="W965" s="40"/>
      <c r="X965" s="40"/>
      <c r="Y965" s="40"/>
      <c r="Z965" s="40"/>
      <c r="AA965" s="40"/>
      <c r="AB965" s="40"/>
      <c r="AC965" s="40"/>
      <c r="AD965" s="40"/>
      <c r="AE965" s="40"/>
      <c r="AF965" s="40"/>
      <c r="AG965" s="40"/>
      <c r="AH965" s="40"/>
      <c r="AI965" s="40"/>
    </row>
    <row r="966" spans="1:35" s="145" customFormat="1" ht="27" customHeight="1" x14ac:dyDescent="0.25">
      <c r="A966" s="259">
        <v>9</v>
      </c>
      <c r="B966" s="274" t="s">
        <v>807</v>
      </c>
      <c r="C966" s="261">
        <f t="shared" si="230"/>
        <v>2833148.84</v>
      </c>
      <c r="D966" s="261">
        <f t="shared" si="231"/>
        <v>2833148.84</v>
      </c>
      <c r="E966" s="263">
        <v>0</v>
      </c>
      <c r="F966" s="261">
        <v>794582.57</v>
      </c>
      <c r="G966" s="263">
        <v>962577.85</v>
      </c>
      <c r="H966" s="263">
        <v>316560.61</v>
      </c>
      <c r="I966" s="263">
        <v>759427.81</v>
      </c>
      <c r="J966" s="262">
        <v>0</v>
      </c>
      <c r="K966" s="261">
        <v>0</v>
      </c>
      <c r="L966" s="261">
        <v>0</v>
      </c>
      <c r="M966" s="261">
        <v>0</v>
      </c>
      <c r="N966" s="263">
        <v>0</v>
      </c>
      <c r="O966" s="261">
        <v>0</v>
      </c>
      <c r="P966" s="263">
        <v>0</v>
      </c>
      <c r="Q966" s="261">
        <v>0</v>
      </c>
      <c r="R966" s="261">
        <v>0</v>
      </c>
      <c r="S966" s="261">
        <v>0</v>
      </c>
      <c r="T966" s="261">
        <v>0</v>
      </c>
      <c r="U966" s="238"/>
      <c r="V966" s="238"/>
      <c r="W966" s="40"/>
      <c r="X966" s="40"/>
      <c r="Y966" s="40"/>
      <c r="Z966" s="40"/>
      <c r="AA966" s="40"/>
      <c r="AB966" s="40"/>
      <c r="AC966" s="40"/>
      <c r="AD966" s="40"/>
      <c r="AE966" s="40"/>
      <c r="AF966" s="40"/>
      <c r="AG966" s="40"/>
      <c r="AH966" s="40"/>
      <c r="AI966" s="40"/>
    </row>
    <row r="967" spans="1:35" s="145" customFormat="1" ht="27" customHeight="1" x14ac:dyDescent="0.25">
      <c r="A967" s="259">
        <v>10</v>
      </c>
      <c r="B967" s="274" t="s">
        <v>174</v>
      </c>
      <c r="C967" s="261">
        <f t="shared" si="230"/>
        <v>-10693184.220000001</v>
      </c>
      <c r="D967" s="261">
        <f t="shared" si="231"/>
        <v>0</v>
      </c>
      <c r="E967" s="263">
        <v>0</v>
      </c>
      <c r="F967" s="261">
        <v>0</v>
      </c>
      <c r="G967" s="261">
        <v>0</v>
      </c>
      <c r="H967" s="263">
        <v>0</v>
      </c>
      <c r="I967" s="261">
        <v>0</v>
      </c>
      <c r="J967" s="262">
        <v>0</v>
      </c>
      <c r="K967" s="261">
        <v>0</v>
      </c>
      <c r="L967" s="261">
        <v>0</v>
      </c>
      <c r="M967" s="261">
        <v>0</v>
      </c>
      <c r="N967" s="263">
        <v>0</v>
      </c>
      <c r="O967" s="261">
        <v>0</v>
      </c>
      <c r="P967" s="263">
        <v>0</v>
      </c>
      <c r="Q967" s="261">
        <v>0</v>
      </c>
      <c r="R967" s="261">
        <v>0</v>
      </c>
      <c r="S967" s="261">
        <v>-10693184.220000001</v>
      </c>
      <c r="T967" s="261">
        <v>0</v>
      </c>
      <c r="U967" s="238"/>
      <c r="V967" s="238"/>
      <c r="W967" s="40"/>
      <c r="X967" s="40"/>
      <c r="Y967" s="40"/>
      <c r="Z967" s="40"/>
      <c r="AA967" s="40"/>
      <c r="AB967" s="40"/>
      <c r="AC967" s="40"/>
      <c r="AD967" s="40"/>
      <c r="AE967" s="40"/>
      <c r="AF967" s="40"/>
      <c r="AG967" s="40"/>
      <c r="AH967" s="40"/>
      <c r="AI967" s="40"/>
    </row>
    <row r="968" spans="1:35" s="145" customFormat="1" ht="27" customHeight="1" x14ac:dyDescent="0.25">
      <c r="A968" s="259"/>
      <c r="B968" s="274" t="s">
        <v>174</v>
      </c>
      <c r="C968" s="261">
        <f t="shared" si="230"/>
        <v>10795086.539999999</v>
      </c>
      <c r="D968" s="261">
        <f t="shared" si="231"/>
        <v>0</v>
      </c>
      <c r="E968" s="263">
        <v>0</v>
      </c>
      <c r="F968" s="261">
        <v>0</v>
      </c>
      <c r="G968" s="261">
        <v>0</v>
      </c>
      <c r="H968" s="263">
        <v>0</v>
      </c>
      <c r="I968" s="261">
        <v>0</v>
      </c>
      <c r="J968" s="262">
        <v>0</v>
      </c>
      <c r="K968" s="261">
        <v>0</v>
      </c>
      <c r="L968" s="261">
        <v>0</v>
      </c>
      <c r="M968" s="261">
        <v>0</v>
      </c>
      <c r="N968" s="263">
        <v>0</v>
      </c>
      <c r="O968" s="261">
        <v>0</v>
      </c>
      <c r="P968" s="263">
        <v>0</v>
      </c>
      <c r="Q968" s="261">
        <v>0</v>
      </c>
      <c r="R968" s="261">
        <v>0</v>
      </c>
      <c r="S968" s="261">
        <v>10795086.539999999</v>
      </c>
      <c r="T968" s="261">
        <v>0</v>
      </c>
      <c r="U968" s="238"/>
      <c r="V968" s="238"/>
      <c r="W968" s="40"/>
      <c r="X968" s="40"/>
      <c r="Y968" s="40"/>
      <c r="Z968" s="40"/>
      <c r="AA968" s="40"/>
      <c r="AB968" s="40"/>
      <c r="AC968" s="40"/>
      <c r="AD968" s="40"/>
      <c r="AE968" s="40"/>
      <c r="AF968" s="40"/>
      <c r="AG968" s="40"/>
      <c r="AH968" s="40"/>
      <c r="AI968" s="40"/>
    </row>
    <row r="969" spans="1:35" s="145" customFormat="1" ht="27" customHeight="1" x14ac:dyDescent="0.25">
      <c r="A969" s="259">
        <v>11</v>
      </c>
      <c r="B969" s="274" t="s">
        <v>808</v>
      </c>
      <c r="C969" s="261">
        <f t="shared" si="230"/>
        <v>1476875.8</v>
      </c>
      <c r="D969" s="261">
        <f t="shared" si="231"/>
        <v>1476875.8</v>
      </c>
      <c r="E969" s="263">
        <v>0</v>
      </c>
      <c r="F969" s="261">
        <v>0</v>
      </c>
      <c r="G969" s="263">
        <v>847887.49</v>
      </c>
      <c r="H969" s="263">
        <v>628988.31000000006</v>
      </c>
      <c r="I969" s="263">
        <v>0</v>
      </c>
      <c r="J969" s="262">
        <v>0</v>
      </c>
      <c r="K969" s="261">
        <v>0</v>
      </c>
      <c r="L969" s="261">
        <v>0</v>
      </c>
      <c r="M969" s="261">
        <v>0</v>
      </c>
      <c r="N969" s="263">
        <v>0</v>
      </c>
      <c r="O969" s="261">
        <v>0</v>
      </c>
      <c r="P969" s="263">
        <v>0</v>
      </c>
      <c r="Q969" s="261">
        <v>0</v>
      </c>
      <c r="R969" s="261">
        <v>0</v>
      </c>
      <c r="S969" s="261">
        <v>0</v>
      </c>
      <c r="T969" s="261">
        <v>0</v>
      </c>
      <c r="U969" s="238"/>
      <c r="V969" s="238"/>
      <c r="W969" s="40"/>
      <c r="X969" s="40"/>
      <c r="Y969" s="40"/>
      <c r="Z969" s="40"/>
      <c r="AA969" s="40"/>
      <c r="AB969" s="40"/>
      <c r="AC969" s="40"/>
      <c r="AD969" s="40"/>
      <c r="AE969" s="40"/>
      <c r="AF969" s="40"/>
      <c r="AG969" s="40"/>
      <c r="AH969" s="40"/>
      <c r="AI969" s="40"/>
    </row>
    <row r="970" spans="1:35" s="145" customFormat="1" ht="27" customHeight="1" x14ac:dyDescent="0.25">
      <c r="A970" s="259">
        <v>12</v>
      </c>
      <c r="B970" s="274" t="s">
        <v>809</v>
      </c>
      <c r="C970" s="261">
        <f t="shared" si="230"/>
        <v>35738</v>
      </c>
      <c r="D970" s="261">
        <f t="shared" si="231"/>
        <v>0</v>
      </c>
      <c r="E970" s="263">
        <v>0</v>
      </c>
      <c r="F970" s="261">
        <v>0</v>
      </c>
      <c r="G970" s="263">
        <v>0</v>
      </c>
      <c r="H970" s="263">
        <v>0</v>
      </c>
      <c r="I970" s="263">
        <v>0</v>
      </c>
      <c r="J970" s="262">
        <v>0</v>
      </c>
      <c r="K970" s="261">
        <v>0</v>
      </c>
      <c r="L970" s="261">
        <v>0</v>
      </c>
      <c r="M970" s="261">
        <v>0</v>
      </c>
      <c r="N970" s="263">
        <v>0</v>
      </c>
      <c r="O970" s="261">
        <v>0</v>
      </c>
      <c r="P970" s="263">
        <v>0</v>
      </c>
      <c r="Q970" s="261">
        <v>0</v>
      </c>
      <c r="R970" s="261">
        <v>35738</v>
      </c>
      <c r="S970" s="261">
        <v>0</v>
      </c>
      <c r="T970" s="261">
        <v>0</v>
      </c>
      <c r="U970" s="238"/>
      <c r="V970" s="238"/>
      <c r="W970" s="40"/>
      <c r="X970" s="40"/>
      <c r="Y970" s="40"/>
      <c r="Z970" s="40"/>
      <c r="AA970" s="40"/>
      <c r="AB970" s="40"/>
      <c r="AC970" s="40"/>
      <c r="AD970" s="40"/>
      <c r="AE970" s="40"/>
      <c r="AF970" s="40"/>
      <c r="AG970" s="40"/>
      <c r="AH970" s="40"/>
      <c r="AI970" s="40"/>
    </row>
    <row r="971" spans="1:35" s="145" customFormat="1" ht="27" customHeight="1" x14ac:dyDescent="0.25">
      <c r="A971" s="259">
        <v>13</v>
      </c>
      <c r="B971" s="274" t="s">
        <v>810</v>
      </c>
      <c r="C971" s="261">
        <f t="shared" si="230"/>
        <v>3472303.25</v>
      </c>
      <c r="D971" s="261">
        <f t="shared" si="231"/>
        <v>0</v>
      </c>
      <c r="E971" s="263">
        <v>0</v>
      </c>
      <c r="F971" s="261">
        <v>0</v>
      </c>
      <c r="G971" s="263">
        <v>0</v>
      </c>
      <c r="H971" s="263">
        <v>0</v>
      </c>
      <c r="I971" s="263">
        <v>0</v>
      </c>
      <c r="J971" s="262">
        <v>1</v>
      </c>
      <c r="K971" s="261">
        <v>3472303.25</v>
      </c>
      <c r="L971" s="261">
        <v>0</v>
      </c>
      <c r="M971" s="261">
        <v>0</v>
      </c>
      <c r="N971" s="263">
        <v>0</v>
      </c>
      <c r="O971" s="261">
        <v>0</v>
      </c>
      <c r="P971" s="263">
        <v>0</v>
      </c>
      <c r="Q971" s="261">
        <v>0</v>
      </c>
      <c r="R971" s="261">
        <v>0</v>
      </c>
      <c r="S971" s="261">
        <v>0</v>
      </c>
      <c r="T971" s="261">
        <v>0</v>
      </c>
      <c r="U971" s="238"/>
      <c r="V971" s="238"/>
      <c r="W971" s="40"/>
      <c r="X971" s="40"/>
      <c r="Y971" s="40"/>
      <c r="Z971" s="40"/>
      <c r="AA971" s="40"/>
      <c r="AB971" s="40"/>
      <c r="AC971" s="40"/>
      <c r="AD971" s="40"/>
      <c r="AE971" s="40"/>
      <c r="AF971" s="40"/>
      <c r="AG971" s="40"/>
      <c r="AH971" s="40"/>
      <c r="AI971" s="40"/>
    </row>
    <row r="972" spans="1:35" s="145" customFormat="1" ht="27" customHeight="1" x14ac:dyDescent="0.25">
      <c r="A972" s="259">
        <v>14</v>
      </c>
      <c r="B972" s="274" t="s">
        <v>811</v>
      </c>
      <c r="C972" s="261">
        <f t="shared" si="230"/>
        <v>1087519.95</v>
      </c>
      <c r="D972" s="261">
        <f t="shared" si="231"/>
        <v>1087519.95</v>
      </c>
      <c r="E972" s="263">
        <v>1087519.95</v>
      </c>
      <c r="F972" s="261">
        <v>0</v>
      </c>
      <c r="G972" s="263">
        <v>0</v>
      </c>
      <c r="H972" s="263">
        <v>0</v>
      </c>
      <c r="I972" s="263">
        <v>0</v>
      </c>
      <c r="J972" s="262">
        <v>0</v>
      </c>
      <c r="K972" s="261">
        <v>0</v>
      </c>
      <c r="L972" s="261">
        <v>0</v>
      </c>
      <c r="M972" s="261">
        <v>0</v>
      </c>
      <c r="N972" s="263">
        <v>0</v>
      </c>
      <c r="O972" s="261">
        <v>0</v>
      </c>
      <c r="P972" s="263">
        <v>0</v>
      </c>
      <c r="Q972" s="261">
        <v>0</v>
      </c>
      <c r="R972" s="261">
        <v>0</v>
      </c>
      <c r="S972" s="261">
        <v>0</v>
      </c>
      <c r="T972" s="261">
        <v>0</v>
      </c>
      <c r="U972" s="238"/>
      <c r="V972" s="238"/>
      <c r="W972" s="40"/>
      <c r="X972" s="40"/>
      <c r="Y972" s="40"/>
      <c r="Z972" s="40"/>
      <c r="AA972" s="40"/>
      <c r="AB972" s="40"/>
      <c r="AC972" s="40"/>
      <c r="AD972" s="40"/>
      <c r="AE972" s="40"/>
      <c r="AF972" s="40"/>
      <c r="AG972" s="40"/>
      <c r="AH972" s="40"/>
      <c r="AI972" s="40"/>
    </row>
    <row r="973" spans="1:35" s="145" customFormat="1" ht="27" customHeight="1" x14ac:dyDescent="0.25">
      <c r="A973" s="259">
        <v>15</v>
      </c>
      <c r="B973" s="274" t="s">
        <v>812</v>
      </c>
      <c r="C973" s="261">
        <f t="shared" si="230"/>
        <v>-2301256.7999999998</v>
      </c>
      <c r="D973" s="261">
        <f t="shared" si="231"/>
        <v>-2301256.7999999998</v>
      </c>
      <c r="E973" s="263">
        <v>-2301256.7999999998</v>
      </c>
      <c r="F973" s="261">
        <v>0</v>
      </c>
      <c r="G973" s="261">
        <v>0</v>
      </c>
      <c r="H973" s="263">
        <v>0</v>
      </c>
      <c r="I973" s="261">
        <v>0</v>
      </c>
      <c r="J973" s="262">
        <v>0</v>
      </c>
      <c r="K973" s="261">
        <v>0</v>
      </c>
      <c r="L973" s="261">
        <v>0</v>
      </c>
      <c r="M973" s="261">
        <v>0</v>
      </c>
      <c r="N973" s="263">
        <v>0</v>
      </c>
      <c r="O973" s="261">
        <v>0</v>
      </c>
      <c r="P973" s="263">
        <v>0</v>
      </c>
      <c r="Q973" s="261">
        <v>0</v>
      </c>
      <c r="R973" s="261">
        <v>0</v>
      </c>
      <c r="S973" s="261">
        <v>0</v>
      </c>
      <c r="T973" s="261">
        <v>0</v>
      </c>
      <c r="U973" s="238"/>
      <c r="V973" s="238"/>
      <c r="W973" s="40"/>
      <c r="X973" s="40"/>
      <c r="Y973" s="40"/>
      <c r="Z973" s="40"/>
      <c r="AA973" s="40"/>
      <c r="AB973" s="40"/>
      <c r="AC973" s="40"/>
      <c r="AD973" s="40"/>
      <c r="AE973" s="40"/>
      <c r="AF973" s="40"/>
      <c r="AG973" s="40"/>
      <c r="AH973" s="40"/>
      <c r="AI973" s="40"/>
    </row>
    <row r="974" spans="1:35" s="145" customFormat="1" ht="27" customHeight="1" x14ac:dyDescent="0.25">
      <c r="A974" s="259"/>
      <c r="B974" s="274" t="s">
        <v>812</v>
      </c>
      <c r="C974" s="261">
        <f t="shared" si="230"/>
        <v>2301526.7999999998</v>
      </c>
      <c r="D974" s="261">
        <f t="shared" si="231"/>
        <v>2301526.7999999998</v>
      </c>
      <c r="E974" s="263">
        <v>2301526.7999999998</v>
      </c>
      <c r="F974" s="261">
        <v>0</v>
      </c>
      <c r="G974" s="261">
        <v>0</v>
      </c>
      <c r="H974" s="263">
        <v>0</v>
      </c>
      <c r="I974" s="261">
        <v>0</v>
      </c>
      <c r="J974" s="262">
        <v>0</v>
      </c>
      <c r="K974" s="261">
        <v>0</v>
      </c>
      <c r="L974" s="261">
        <v>0</v>
      </c>
      <c r="M974" s="261">
        <v>0</v>
      </c>
      <c r="N974" s="263">
        <v>0</v>
      </c>
      <c r="O974" s="261">
        <v>0</v>
      </c>
      <c r="P974" s="263">
        <v>0</v>
      </c>
      <c r="Q974" s="261">
        <v>0</v>
      </c>
      <c r="R974" s="261">
        <v>0</v>
      </c>
      <c r="S974" s="261">
        <v>0</v>
      </c>
      <c r="T974" s="261">
        <v>0</v>
      </c>
      <c r="U974" s="238"/>
      <c r="V974" s="238"/>
      <c r="W974" s="40"/>
      <c r="X974" s="40"/>
      <c r="Y974" s="40"/>
      <c r="Z974" s="40"/>
      <c r="AA974" s="40"/>
      <c r="AB974" s="40"/>
      <c r="AC974" s="40"/>
      <c r="AD974" s="40"/>
      <c r="AE974" s="40"/>
      <c r="AF974" s="40"/>
      <c r="AG974" s="40"/>
      <c r="AH974" s="40"/>
      <c r="AI974" s="40"/>
    </row>
    <row r="975" spans="1:35" s="145" customFormat="1" ht="27" customHeight="1" x14ac:dyDescent="0.25">
      <c r="A975" s="259">
        <v>16</v>
      </c>
      <c r="B975" s="274" t="s">
        <v>813</v>
      </c>
      <c r="C975" s="261">
        <f t="shared" si="230"/>
        <v>-2940034.61</v>
      </c>
      <c r="D975" s="261">
        <f t="shared" si="231"/>
        <v>0</v>
      </c>
      <c r="E975" s="263">
        <v>0</v>
      </c>
      <c r="F975" s="261">
        <v>0</v>
      </c>
      <c r="G975" s="261">
        <v>0</v>
      </c>
      <c r="H975" s="263">
        <v>0</v>
      </c>
      <c r="I975" s="261">
        <v>0</v>
      </c>
      <c r="J975" s="262">
        <v>0</v>
      </c>
      <c r="K975" s="261">
        <v>0</v>
      </c>
      <c r="L975" s="261">
        <v>0</v>
      </c>
      <c r="M975" s="261">
        <v>0</v>
      </c>
      <c r="N975" s="263">
        <v>0</v>
      </c>
      <c r="O975" s="261">
        <v>0</v>
      </c>
      <c r="P975" s="263">
        <v>0</v>
      </c>
      <c r="Q975" s="261">
        <v>0</v>
      </c>
      <c r="R975" s="261">
        <v>0</v>
      </c>
      <c r="S975" s="261">
        <v>-2940034.61</v>
      </c>
      <c r="T975" s="261">
        <v>0</v>
      </c>
      <c r="U975" s="238"/>
      <c r="V975" s="238"/>
      <c r="W975" s="40"/>
      <c r="X975" s="40"/>
      <c r="Y975" s="40"/>
      <c r="Z975" s="40"/>
      <c r="AA975" s="40"/>
      <c r="AB975" s="40"/>
      <c r="AC975" s="40"/>
      <c r="AD975" s="40"/>
      <c r="AE975" s="40"/>
      <c r="AF975" s="40"/>
      <c r="AG975" s="40"/>
      <c r="AH975" s="40"/>
      <c r="AI975" s="40"/>
    </row>
    <row r="976" spans="1:35" s="145" customFormat="1" ht="27" customHeight="1" x14ac:dyDescent="0.25">
      <c r="A976" s="259"/>
      <c r="B976" s="274" t="s">
        <v>813</v>
      </c>
      <c r="C976" s="261">
        <f t="shared" si="230"/>
        <v>3134160.15</v>
      </c>
      <c r="D976" s="261">
        <f t="shared" si="231"/>
        <v>0</v>
      </c>
      <c r="E976" s="263">
        <v>0</v>
      </c>
      <c r="F976" s="261">
        <v>0</v>
      </c>
      <c r="G976" s="261">
        <v>0</v>
      </c>
      <c r="H976" s="263">
        <v>0</v>
      </c>
      <c r="I976" s="261">
        <v>0</v>
      </c>
      <c r="J976" s="262">
        <v>0</v>
      </c>
      <c r="K976" s="261">
        <v>0</v>
      </c>
      <c r="L976" s="261">
        <v>0</v>
      </c>
      <c r="M976" s="261">
        <v>0</v>
      </c>
      <c r="N976" s="263">
        <v>0</v>
      </c>
      <c r="O976" s="261">
        <v>0</v>
      </c>
      <c r="P976" s="263">
        <v>0</v>
      </c>
      <c r="Q976" s="261">
        <v>0</v>
      </c>
      <c r="R976" s="261">
        <v>0</v>
      </c>
      <c r="S976" s="261">
        <v>3134160.15</v>
      </c>
      <c r="T976" s="261">
        <v>0</v>
      </c>
      <c r="U976" s="238"/>
      <c r="V976" s="238"/>
      <c r="W976" s="40"/>
      <c r="X976" s="40"/>
      <c r="Y976" s="40"/>
      <c r="Z976" s="40"/>
      <c r="AA976" s="40"/>
      <c r="AB976" s="40"/>
      <c r="AC976" s="40"/>
      <c r="AD976" s="40"/>
      <c r="AE976" s="40"/>
      <c r="AF976" s="40"/>
      <c r="AG976" s="40"/>
      <c r="AH976" s="40"/>
      <c r="AI976" s="40"/>
    </row>
    <row r="977" spans="1:35" s="145" customFormat="1" ht="27" customHeight="1" x14ac:dyDescent="0.25">
      <c r="A977" s="259">
        <v>17</v>
      </c>
      <c r="B977" s="274" t="s">
        <v>207</v>
      </c>
      <c r="C977" s="261">
        <f t="shared" si="230"/>
        <v>-2425939.2000000002</v>
      </c>
      <c r="D977" s="261">
        <f t="shared" si="231"/>
        <v>-2425939.2000000002</v>
      </c>
      <c r="E977" s="263">
        <v>0</v>
      </c>
      <c r="F977" s="261">
        <v>-2425939.2000000002</v>
      </c>
      <c r="G977" s="261">
        <v>0</v>
      </c>
      <c r="H977" s="263">
        <v>0</v>
      </c>
      <c r="I977" s="261">
        <v>0</v>
      </c>
      <c r="J977" s="262">
        <v>0</v>
      </c>
      <c r="K977" s="261">
        <v>0</v>
      </c>
      <c r="L977" s="261">
        <v>0</v>
      </c>
      <c r="M977" s="261">
        <v>0</v>
      </c>
      <c r="N977" s="263">
        <v>0</v>
      </c>
      <c r="O977" s="261">
        <v>0</v>
      </c>
      <c r="P977" s="263">
        <v>0</v>
      </c>
      <c r="Q977" s="261">
        <v>0</v>
      </c>
      <c r="R977" s="261">
        <v>0</v>
      </c>
      <c r="S977" s="261">
        <v>0</v>
      </c>
      <c r="T977" s="261">
        <v>0</v>
      </c>
      <c r="U977" s="238"/>
      <c r="V977" s="238"/>
      <c r="W977" s="40"/>
      <c r="X977" s="40"/>
      <c r="Y977" s="40"/>
      <c r="Z977" s="40"/>
      <c r="AA977" s="40"/>
      <c r="AB977" s="40"/>
      <c r="AC977" s="40"/>
      <c r="AD977" s="40"/>
      <c r="AE977" s="40"/>
      <c r="AF977" s="40"/>
      <c r="AG977" s="40"/>
      <c r="AH977" s="40"/>
      <c r="AI977" s="40"/>
    </row>
    <row r="978" spans="1:35" s="145" customFormat="1" ht="27" customHeight="1" x14ac:dyDescent="0.25">
      <c r="A978" s="259"/>
      <c r="B978" s="274" t="s">
        <v>207</v>
      </c>
      <c r="C978" s="261">
        <f t="shared" si="230"/>
        <v>3102376.8</v>
      </c>
      <c r="D978" s="261">
        <f t="shared" si="231"/>
        <v>3102376.8</v>
      </c>
      <c r="E978" s="263">
        <v>0</v>
      </c>
      <c r="F978" s="261">
        <v>3102376.8</v>
      </c>
      <c r="G978" s="261">
        <v>0</v>
      </c>
      <c r="H978" s="263">
        <v>0</v>
      </c>
      <c r="I978" s="261">
        <v>0</v>
      </c>
      <c r="J978" s="262">
        <v>0</v>
      </c>
      <c r="K978" s="261">
        <v>0</v>
      </c>
      <c r="L978" s="261">
        <v>0</v>
      </c>
      <c r="M978" s="261">
        <v>0</v>
      </c>
      <c r="N978" s="263">
        <v>0</v>
      </c>
      <c r="O978" s="261">
        <v>0</v>
      </c>
      <c r="P978" s="263">
        <v>0</v>
      </c>
      <c r="Q978" s="261">
        <v>0</v>
      </c>
      <c r="R978" s="261">
        <v>0</v>
      </c>
      <c r="S978" s="261">
        <v>0</v>
      </c>
      <c r="T978" s="261">
        <v>0</v>
      </c>
      <c r="U978" s="238"/>
      <c r="V978" s="238"/>
      <c r="W978" s="40"/>
      <c r="X978" s="40"/>
      <c r="Y978" s="40"/>
      <c r="Z978" s="40"/>
      <c r="AA978" s="40"/>
      <c r="AB978" s="40"/>
      <c r="AC978" s="40"/>
      <c r="AD978" s="40"/>
      <c r="AE978" s="40"/>
      <c r="AF978" s="40"/>
      <c r="AG978" s="40"/>
      <c r="AH978" s="40"/>
      <c r="AI978" s="40"/>
    </row>
    <row r="979" spans="1:35" s="145" customFormat="1" ht="27" customHeight="1" x14ac:dyDescent="0.25">
      <c r="A979" s="259">
        <v>18</v>
      </c>
      <c r="B979" s="274" t="s">
        <v>814</v>
      </c>
      <c r="C979" s="261">
        <f t="shared" si="230"/>
        <v>-10590316.800000001</v>
      </c>
      <c r="D979" s="261">
        <f t="shared" si="231"/>
        <v>0</v>
      </c>
      <c r="E979" s="263">
        <v>0</v>
      </c>
      <c r="F979" s="261">
        <v>0</v>
      </c>
      <c r="G979" s="261">
        <v>0</v>
      </c>
      <c r="H979" s="263">
        <v>0</v>
      </c>
      <c r="I979" s="261">
        <v>0</v>
      </c>
      <c r="J979" s="262">
        <v>0</v>
      </c>
      <c r="K979" s="261">
        <v>0</v>
      </c>
      <c r="L979" s="261">
        <v>0</v>
      </c>
      <c r="M979" s="261">
        <v>0</v>
      </c>
      <c r="N979" s="263">
        <v>-10590316.800000001</v>
      </c>
      <c r="O979" s="261">
        <v>0</v>
      </c>
      <c r="P979" s="263">
        <v>0</v>
      </c>
      <c r="Q979" s="261">
        <v>0</v>
      </c>
      <c r="R979" s="261">
        <v>0</v>
      </c>
      <c r="S979" s="261">
        <v>0</v>
      </c>
      <c r="T979" s="261">
        <v>0</v>
      </c>
      <c r="U979" s="238"/>
      <c r="V979" s="238"/>
      <c r="W979" s="40"/>
      <c r="X979" s="40"/>
      <c r="Y979" s="40"/>
      <c r="Z979" s="40"/>
      <c r="AA979" s="40"/>
      <c r="AB979" s="40"/>
      <c r="AC979" s="40"/>
      <c r="AD979" s="40"/>
      <c r="AE979" s="40"/>
      <c r="AF979" s="40"/>
      <c r="AG979" s="40"/>
      <c r="AH979" s="40"/>
      <c r="AI979" s="40"/>
    </row>
    <row r="980" spans="1:35" s="145" customFormat="1" ht="27" customHeight="1" x14ac:dyDescent="0.25">
      <c r="A980" s="259"/>
      <c r="B980" s="274" t="s">
        <v>814</v>
      </c>
      <c r="C980" s="261">
        <f t="shared" si="230"/>
        <v>10550846.800000001</v>
      </c>
      <c r="D980" s="261">
        <f t="shared" si="231"/>
        <v>0</v>
      </c>
      <c r="E980" s="263">
        <v>0</v>
      </c>
      <c r="F980" s="261">
        <v>0</v>
      </c>
      <c r="G980" s="261">
        <v>0</v>
      </c>
      <c r="H980" s="263">
        <v>0</v>
      </c>
      <c r="I980" s="261">
        <v>0</v>
      </c>
      <c r="J980" s="262">
        <v>0</v>
      </c>
      <c r="K980" s="261">
        <v>0</v>
      </c>
      <c r="L980" s="261">
        <v>0</v>
      </c>
      <c r="M980" s="261">
        <v>0</v>
      </c>
      <c r="N980" s="263">
        <v>10550846.800000001</v>
      </c>
      <c r="O980" s="261">
        <v>0</v>
      </c>
      <c r="P980" s="263">
        <v>0</v>
      </c>
      <c r="Q980" s="261">
        <v>0</v>
      </c>
      <c r="R980" s="261">
        <v>0</v>
      </c>
      <c r="S980" s="261">
        <v>0</v>
      </c>
      <c r="T980" s="261">
        <v>0</v>
      </c>
      <c r="U980" s="238"/>
      <c r="V980" s="238"/>
      <c r="W980" s="40"/>
      <c r="X980" s="40"/>
      <c r="Y980" s="40"/>
      <c r="Z980" s="40"/>
      <c r="AA980" s="40"/>
      <c r="AB980" s="40"/>
      <c r="AC980" s="40"/>
      <c r="AD980" s="40"/>
      <c r="AE980" s="40"/>
      <c r="AF980" s="40"/>
      <c r="AG980" s="40"/>
      <c r="AH980" s="40"/>
      <c r="AI980" s="40"/>
    </row>
    <row r="981" spans="1:35" s="145" customFormat="1" ht="27" customHeight="1" x14ac:dyDescent="0.25">
      <c r="A981" s="259">
        <v>19</v>
      </c>
      <c r="B981" s="274" t="s">
        <v>815</v>
      </c>
      <c r="C981" s="261">
        <f t="shared" si="230"/>
        <v>271360</v>
      </c>
      <c r="D981" s="261">
        <f t="shared" si="231"/>
        <v>271360</v>
      </c>
      <c r="E981" s="263">
        <v>0</v>
      </c>
      <c r="F981" s="261">
        <v>0</v>
      </c>
      <c r="G981" s="263">
        <v>271360</v>
      </c>
      <c r="H981" s="263">
        <v>0</v>
      </c>
      <c r="I981" s="263">
        <v>0</v>
      </c>
      <c r="J981" s="262">
        <v>0</v>
      </c>
      <c r="K981" s="261">
        <v>0</v>
      </c>
      <c r="L981" s="261">
        <v>0</v>
      </c>
      <c r="M981" s="261">
        <v>0</v>
      </c>
      <c r="N981" s="263">
        <v>0</v>
      </c>
      <c r="O981" s="261">
        <v>0</v>
      </c>
      <c r="P981" s="263">
        <v>0</v>
      </c>
      <c r="Q981" s="261">
        <v>0</v>
      </c>
      <c r="R981" s="261">
        <v>0</v>
      </c>
      <c r="S981" s="261">
        <v>0</v>
      </c>
      <c r="T981" s="261">
        <v>0</v>
      </c>
      <c r="U981" s="238"/>
      <c r="V981" s="238"/>
      <c r="W981" s="40"/>
      <c r="X981" s="40"/>
      <c r="Y981" s="40"/>
      <c r="Z981" s="40"/>
      <c r="AA981" s="40"/>
      <c r="AB981" s="40"/>
      <c r="AC981" s="40"/>
      <c r="AD981" s="40"/>
      <c r="AE981" s="40"/>
      <c r="AF981" s="40"/>
      <c r="AG981" s="40"/>
      <c r="AH981" s="40"/>
      <c r="AI981" s="40"/>
    </row>
    <row r="982" spans="1:35" s="145" customFormat="1" ht="27" customHeight="1" x14ac:dyDescent="0.25">
      <c r="A982" s="259">
        <v>20</v>
      </c>
      <c r="B982" s="274" t="s">
        <v>816</v>
      </c>
      <c r="C982" s="261">
        <f t="shared" si="230"/>
        <v>-1745876.86</v>
      </c>
      <c r="D982" s="261">
        <f t="shared" si="231"/>
        <v>-1745876.86</v>
      </c>
      <c r="E982" s="263">
        <v>0</v>
      </c>
      <c r="F982" s="261">
        <v>-1745876.86</v>
      </c>
      <c r="G982" s="261">
        <v>0</v>
      </c>
      <c r="H982" s="263">
        <v>0</v>
      </c>
      <c r="I982" s="261">
        <v>0</v>
      </c>
      <c r="J982" s="262">
        <v>0</v>
      </c>
      <c r="K982" s="261">
        <v>0</v>
      </c>
      <c r="L982" s="261">
        <v>0</v>
      </c>
      <c r="M982" s="261">
        <v>0</v>
      </c>
      <c r="N982" s="263">
        <v>0</v>
      </c>
      <c r="O982" s="261">
        <v>0</v>
      </c>
      <c r="P982" s="263">
        <v>0</v>
      </c>
      <c r="Q982" s="261">
        <v>0</v>
      </c>
      <c r="R982" s="261">
        <v>0</v>
      </c>
      <c r="S982" s="261">
        <v>0</v>
      </c>
      <c r="T982" s="261">
        <v>0</v>
      </c>
      <c r="U982" s="238"/>
      <c r="V982" s="238"/>
      <c r="W982" s="40"/>
      <c r="X982" s="40"/>
      <c r="Y982" s="40"/>
      <c r="Z982" s="40"/>
      <c r="AA982" s="40"/>
      <c r="AB982" s="40"/>
      <c r="AC982" s="40"/>
      <c r="AD982" s="40"/>
      <c r="AE982" s="40"/>
      <c r="AF982" s="40"/>
      <c r="AG982" s="40"/>
      <c r="AH982" s="40"/>
      <c r="AI982" s="40"/>
    </row>
    <row r="983" spans="1:35" s="145" customFormat="1" ht="27" customHeight="1" x14ac:dyDescent="0.25">
      <c r="A983" s="259"/>
      <c r="B983" s="274" t="s">
        <v>816</v>
      </c>
      <c r="C983" s="261">
        <f t="shared" si="230"/>
        <v>1626153.76</v>
      </c>
      <c r="D983" s="261">
        <f t="shared" si="231"/>
        <v>1626153.76</v>
      </c>
      <c r="E983" s="263">
        <v>0</v>
      </c>
      <c r="F983" s="261">
        <v>1626153.76</v>
      </c>
      <c r="G983" s="261">
        <v>0</v>
      </c>
      <c r="H983" s="263">
        <v>0</v>
      </c>
      <c r="I983" s="261">
        <v>0</v>
      </c>
      <c r="J983" s="262">
        <v>0</v>
      </c>
      <c r="K983" s="261">
        <v>0</v>
      </c>
      <c r="L983" s="261">
        <v>0</v>
      </c>
      <c r="M983" s="261">
        <v>0</v>
      </c>
      <c r="N983" s="263">
        <v>0</v>
      </c>
      <c r="O983" s="261">
        <v>0</v>
      </c>
      <c r="P983" s="263">
        <v>0</v>
      </c>
      <c r="Q983" s="261">
        <v>0</v>
      </c>
      <c r="R983" s="261">
        <v>0</v>
      </c>
      <c r="S983" s="261">
        <v>0</v>
      </c>
      <c r="T983" s="261">
        <v>0</v>
      </c>
      <c r="U983" s="238"/>
      <c r="V983" s="238"/>
      <c r="W983" s="40"/>
      <c r="X983" s="40"/>
      <c r="Y983" s="40"/>
      <c r="Z983" s="40"/>
      <c r="AA983" s="40"/>
      <c r="AB983" s="40"/>
      <c r="AC983" s="40"/>
      <c r="AD983" s="40"/>
      <c r="AE983" s="40"/>
      <c r="AF983" s="40"/>
      <c r="AG983" s="40"/>
      <c r="AH983" s="40"/>
      <c r="AI983" s="40"/>
    </row>
    <row r="984" spans="1:35" s="145" customFormat="1" ht="27" customHeight="1" x14ac:dyDescent="0.25">
      <c r="A984" s="259">
        <v>21</v>
      </c>
      <c r="B984" s="274" t="s">
        <v>631</v>
      </c>
      <c r="C984" s="261">
        <f t="shared" si="230"/>
        <v>2425079</v>
      </c>
      <c r="D984" s="261">
        <f t="shared" si="231"/>
        <v>0</v>
      </c>
      <c r="E984" s="263">
        <v>0</v>
      </c>
      <c r="F984" s="261">
        <v>0</v>
      </c>
      <c r="G984" s="263">
        <v>0</v>
      </c>
      <c r="H984" s="263">
        <v>0</v>
      </c>
      <c r="I984" s="263">
        <v>0</v>
      </c>
      <c r="J984" s="262">
        <v>1</v>
      </c>
      <c r="K984" s="261">
        <v>2425079</v>
      </c>
      <c r="L984" s="261">
        <v>0</v>
      </c>
      <c r="M984" s="261">
        <v>0</v>
      </c>
      <c r="N984" s="263">
        <v>0</v>
      </c>
      <c r="O984" s="261">
        <v>0</v>
      </c>
      <c r="P984" s="263">
        <v>0</v>
      </c>
      <c r="Q984" s="261">
        <v>0</v>
      </c>
      <c r="R984" s="261">
        <v>0</v>
      </c>
      <c r="S984" s="261">
        <v>0</v>
      </c>
      <c r="T984" s="261">
        <v>0</v>
      </c>
      <c r="U984" s="238"/>
      <c r="V984" s="238"/>
      <c r="W984" s="40"/>
      <c r="X984" s="40"/>
      <c r="Y984" s="40"/>
      <c r="Z984" s="40"/>
      <c r="AA984" s="40"/>
      <c r="AB984" s="40"/>
      <c r="AC984" s="40"/>
      <c r="AD984" s="40"/>
      <c r="AE984" s="40"/>
      <c r="AF984" s="40"/>
      <c r="AG984" s="40"/>
      <c r="AH984" s="40"/>
      <c r="AI984" s="40"/>
    </row>
    <row r="985" spans="1:35" s="145" customFormat="1" ht="27" customHeight="1" x14ac:dyDescent="0.25">
      <c r="A985" s="259">
        <v>22</v>
      </c>
      <c r="B985" s="274" t="s">
        <v>278</v>
      </c>
      <c r="C985" s="261">
        <f t="shared" si="230"/>
        <v>4921032.88</v>
      </c>
      <c r="D985" s="261">
        <f t="shared" si="231"/>
        <v>0</v>
      </c>
      <c r="E985" s="263">
        <v>0</v>
      </c>
      <c r="F985" s="261">
        <v>0</v>
      </c>
      <c r="G985" s="263">
        <v>0</v>
      </c>
      <c r="H985" s="263">
        <v>0</v>
      </c>
      <c r="I985" s="263">
        <v>0</v>
      </c>
      <c r="J985" s="262">
        <v>2</v>
      </c>
      <c r="K985" s="261">
        <f>2413311.98+2507720.9</f>
        <v>4921032.88</v>
      </c>
      <c r="L985" s="261">
        <v>0</v>
      </c>
      <c r="M985" s="261">
        <v>0</v>
      </c>
      <c r="N985" s="263">
        <v>0</v>
      </c>
      <c r="O985" s="261">
        <v>0</v>
      </c>
      <c r="P985" s="263">
        <v>0</v>
      </c>
      <c r="Q985" s="261">
        <v>0</v>
      </c>
      <c r="R985" s="261">
        <v>0</v>
      </c>
      <c r="S985" s="261">
        <v>0</v>
      </c>
      <c r="T985" s="261">
        <v>0</v>
      </c>
      <c r="U985" s="238"/>
      <c r="V985" s="238"/>
      <c r="W985" s="40"/>
      <c r="X985" s="40"/>
      <c r="Y985" s="40"/>
      <c r="Z985" s="40"/>
      <c r="AA985" s="40"/>
      <c r="AB985" s="40"/>
      <c r="AC985" s="40"/>
      <c r="AD985" s="40"/>
      <c r="AE985" s="40"/>
      <c r="AF985" s="40"/>
      <c r="AG985" s="40"/>
      <c r="AH985" s="40"/>
      <c r="AI985" s="40"/>
    </row>
    <row r="986" spans="1:35" s="145" customFormat="1" ht="27" customHeight="1" x14ac:dyDescent="0.25">
      <c r="A986" s="259">
        <v>23</v>
      </c>
      <c r="B986" s="274" t="s">
        <v>817</v>
      </c>
      <c r="C986" s="261">
        <f t="shared" si="230"/>
        <v>993075.77</v>
      </c>
      <c r="D986" s="261">
        <f t="shared" si="231"/>
        <v>993075.77</v>
      </c>
      <c r="E986" s="263">
        <v>0</v>
      </c>
      <c r="F986" s="261">
        <v>0</v>
      </c>
      <c r="G986" s="263">
        <v>0</v>
      </c>
      <c r="H986" s="263">
        <v>993075.77</v>
      </c>
      <c r="I986" s="263">
        <v>0</v>
      </c>
      <c r="J986" s="262">
        <v>0</v>
      </c>
      <c r="K986" s="261">
        <v>0</v>
      </c>
      <c r="L986" s="261">
        <v>0</v>
      </c>
      <c r="M986" s="261">
        <v>0</v>
      </c>
      <c r="N986" s="263">
        <v>0</v>
      </c>
      <c r="O986" s="261">
        <v>0</v>
      </c>
      <c r="P986" s="263">
        <v>0</v>
      </c>
      <c r="Q986" s="261">
        <v>0</v>
      </c>
      <c r="R986" s="261">
        <v>0</v>
      </c>
      <c r="S986" s="261">
        <v>0</v>
      </c>
      <c r="T986" s="261">
        <v>0</v>
      </c>
      <c r="U986" s="238"/>
      <c r="V986" s="238"/>
      <c r="W986" s="40"/>
      <c r="X986" s="40"/>
      <c r="Y986" s="40"/>
      <c r="Z986" s="40"/>
      <c r="AA986" s="40"/>
      <c r="AB986" s="40"/>
      <c r="AC986" s="40"/>
      <c r="AD986" s="40"/>
      <c r="AE986" s="40"/>
      <c r="AF986" s="40"/>
      <c r="AG986" s="40"/>
      <c r="AH986" s="40"/>
      <c r="AI986" s="40"/>
    </row>
    <row r="987" spans="1:35" s="145" customFormat="1" ht="27" customHeight="1" x14ac:dyDescent="0.25">
      <c r="A987" s="259">
        <v>24</v>
      </c>
      <c r="B987" s="274" t="s">
        <v>818</v>
      </c>
      <c r="C987" s="261">
        <f t="shared" si="230"/>
        <v>-1943409.49</v>
      </c>
      <c r="D987" s="261">
        <f t="shared" si="231"/>
        <v>-1943409.49</v>
      </c>
      <c r="E987" s="263">
        <v>0</v>
      </c>
      <c r="F987" s="261">
        <v>0</v>
      </c>
      <c r="G987" s="261">
        <v>-1943409.49</v>
      </c>
      <c r="H987" s="263">
        <v>0</v>
      </c>
      <c r="I987" s="261">
        <v>0</v>
      </c>
      <c r="J987" s="262">
        <v>0</v>
      </c>
      <c r="K987" s="261">
        <v>0</v>
      </c>
      <c r="L987" s="261">
        <v>0</v>
      </c>
      <c r="M987" s="261">
        <v>0</v>
      </c>
      <c r="N987" s="263">
        <v>0</v>
      </c>
      <c r="O987" s="261">
        <v>0</v>
      </c>
      <c r="P987" s="263">
        <v>0</v>
      </c>
      <c r="Q987" s="261">
        <v>0</v>
      </c>
      <c r="R987" s="261">
        <v>0</v>
      </c>
      <c r="S987" s="261">
        <v>0</v>
      </c>
      <c r="T987" s="261">
        <v>0</v>
      </c>
      <c r="U987" s="238"/>
      <c r="V987" s="238"/>
      <c r="W987" s="40"/>
      <c r="X987" s="40"/>
      <c r="Y987" s="40"/>
      <c r="Z987" s="40"/>
      <c r="AA987" s="40"/>
      <c r="AB987" s="40"/>
      <c r="AC987" s="40"/>
      <c r="AD987" s="40"/>
      <c r="AE987" s="40"/>
      <c r="AF987" s="40"/>
      <c r="AG987" s="40"/>
      <c r="AH987" s="40"/>
      <c r="AI987" s="40"/>
    </row>
    <row r="988" spans="1:35" s="145" customFormat="1" ht="27" customHeight="1" x14ac:dyDescent="0.25">
      <c r="A988" s="259"/>
      <c r="B988" s="274" t="s">
        <v>818</v>
      </c>
      <c r="C988" s="261">
        <f t="shared" si="230"/>
        <v>1963409.49</v>
      </c>
      <c r="D988" s="261">
        <f t="shared" si="231"/>
        <v>1963409.49</v>
      </c>
      <c r="E988" s="263">
        <v>0</v>
      </c>
      <c r="F988" s="261">
        <v>0</v>
      </c>
      <c r="G988" s="261">
        <v>1963409.49</v>
      </c>
      <c r="H988" s="263">
        <v>0</v>
      </c>
      <c r="I988" s="261">
        <v>0</v>
      </c>
      <c r="J988" s="262">
        <v>0</v>
      </c>
      <c r="K988" s="261">
        <v>0</v>
      </c>
      <c r="L988" s="261">
        <v>0</v>
      </c>
      <c r="M988" s="261">
        <v>0</v>
      </c>
      <c r="N988" s="263">
        <v>0</v>
      </c>
      <c r="O988" s="261">
        <v>0</v>
      </c>
      <c r="P988" s="263">
        <v>0</v>
      </c>
      <c r="Q988" s="261">
        <v>0</v>
      </c>
      <c r="R988" s="261">
        <v>0</v>
      </c>
      <c r="S988" s="261">
        <v>0</v>
      </c>
      <c r="T988" s="261">
        <v>0</v>
      </c>
      <c r="U988" s="238"/>
      <c r="V988" s="238"/>
      <c r="W988" s="40"/>
      <c r="X988" s="40"/>
      <c r="Y988" s="40"/>
      <c r="Z988" s="40"/>
      <c r="AA988" s="40"/>
      <c r="AB988" s="40"/>
      <c r="AC988" s="40"/>
      <c r="AD988" s="40"/>
      <c r="AE988" s="40"/>
      <c r="AF988" s="40"/>
      <c r="AG988" s="40"/>
      <c r="AH988" s="40"/>
      <c r="AI988" s="40"/>
    </row>
    <row r="989" spans="1:35" s="145" customFormat="1" ht="27" customHeight="1" x14ac:dyDescent="0.25">
      <c r="A989" s="347" t="s">
        <v>318</v>
      </c>
      <c r="B989" s="347"/>
      <c r="C989" s="295">
        <f t="shared" ref="C989:T989" si="232">C990</f>
        <v>106040</v>
      </c>
      <c r="D989" s="295">
        <f t="shared" si="232"/>
        <v>106040</v>
      </c>
      <c r="E989" s="295">
        <f t="shared" si="232"/>
        <v>0</v>
      </c>
      <c r="F989" s="295">
        <f t="shared" si="232"/>
        <v>0</v>
      </c>
      <c r="G989" s="295">
        <f t="shared" si="232"/>
        <v>0</v>
      </c>
      <c r="H989" s="295">
        <f t="shared" si="232"/>
        <v>0</v>
      </c>
      <c r="I989" s="295">
        <f t="shared" si="232"/>
        <v>106040</v>
      </c>
      <c r="J989" s="302">
        <f t="shared" si="232"/>
        <v>0</v>
      </c>
      <c r="K989" s="295">
        <f t="shared" si="232"/>
        <v>0</v>
      </c>
      <c r="L989" s="295">
        <f t="shared" si="232"/>
        <v>0</v>
      </c>
      <c r="M989" s="295">
        <f t="shared" si="232"/>
        <v>0</v>
      </c>
      <c r="N989" s="295">
        <f t="shared" si="232"/>
        <v>0</v>
      </c>
      <c r="O989" s="295">
        <f t="shared" si="232"/>
        <v>0</v>
      </c>
      <c r="P989" s="295">
        <f t="shared" si="232"/>
        <v>0</v>
      </c>
      <c r="Q989" s="295">
        <f t="shared" si="232"/>
        <v>0</v>
      </c>
      <c r="R989" s="295">
        <f t="shared" si="232"/>
        <v>0</v>
      </c>
      <c r="S989" s="295">
        <f t="shared" si="232"/>
        <v>0</v>
      </c>
      <c r="T989" s="295">
        <f t="shared" si="232"/>
        <v>0</v>
      </c>
      <c r="U989" s="238"/>
      <c r="V989" s="238"/>
      <c r="W989" s="186"/>
      <c r="X989" s="186"/>
      <c r="Y989" s="186"/>
      <c r="Z989" s="186"/>
      <c r="AA989" s="186"/>
      <c r="AB989" s="186"/>
      <c r="AC989" s="186"/>
      <c r="AD989" s="186"/>
      <c r="AE989" s="186"/>
      <c r="AF989" s="186"/>
      <c r="AG989" s="186"/>
      <c r="AH989" s="186"/>
      <c r="AI989" s="186"/>
    </row>
    <row r="990" spans="1:35" s="145" customFormat="1" ht="27" customHeight="1" x14ac:dyDescent="0.25">
      <c r="A990" s="259">
        <v>1</v>
      </c>
      <c r="B990" s="281" t="s">
        <v>325</v>
      </c>
      <c r="C990" s="261">
        <f>D990+K990+L990+M990+N990+O990+P990+Q990+R990+S990+T990</f>
        <v>106040</v>
      </c>
      <c r="D990" s="261">
        <f>SUM(E990:I990)</f>
        <v>106040</v>
      </c>
      <c r="E990" s="261">
        <v>0</v>
      </c>
      <c r="F990" s="261">
        <v>0</v>
      </c>
      <c r="G990" s="261">
        <v>0</v>
      </c>
      <c r="H990" s="261">
        <v>0</v>
      </c>
      <c r="I990" s="261">
        <v>106040</v>
      </c>
      <c r="J990" s="262">
        <v>0</v>
      </c>
      <c r="K990" s="261">
        <v>0</v>
      </c>
      <c r="L990" s="261">
        <v>0</v>
      </c>
      <c r="M990" s="261">
        <v>0</v>
      </c>
      <c r="N990" s="261">
        <v>0</v>
      </c>
      <c r="O990" s="261">
        <v>0</v>
      </c>
      <c r="P990" s="261">
        <v>0</v>
      </c>
      <c r="Q990" s="261">
        <v>0</v>
      </c>
      <c r="R990" s="261">
        <v>0</v>
      </c>
      <c r="S990" s="261">
        <v>0</v>
      </c>
      <c r="T990" s="261">
        <v>0</v>
      </c>
      <c r="U990" s="238"/>
      <c r="V990" s="238"/>
      <c r="W990" s="40"/>
      <c r="X990" s="40"/>
      <c r="Y990" s="40"/>
      <c r="Z990" s="40"/>
      <c r="AA990" s="40"/>
      <c r="AB990" s="40"/>
      <c r="AC990" s="40"/>
      <c r="AD990" s="40"/>
      <c r="AE990" s="40"/>
      <c r="AF990" s="40"/>
      <c r="AG990" s="40"/>
      <c r="AH990" s="40"/>
      <c r="AI990" s="40"/>
    </row>
    <row r="991" spans="1:35" s="145" customFormat="1" ht="23.25" customHeight="1" x14ac:dyDescent="0.25">
      <c r="A991" s="347" t="s">
        <v>327</v>
      </c>
      <c r="B991" s="347"/>
      <c r="C991" s="295">
        <f t="shared" ref="C991:T991" si="233">C992</f>
        <v>5313438.37</v>
      </c>
      <c r="D991" s="295">
        <f t="shared" si="233"/>
        <v>5313438.37</v>
      </c>
      <c r="E991" s="295">
        <f t="shared" si="233"/>
        <v>0</v>
      </c>
      <c r="F991" s="295">
        <f t="shared" si="233"/>
        <v>4303241.32</v>
      </c>
      <c r="G991" s="295">
        <f t="shared" si="233"/>
        <v>0</v>
      </c>
      <c r="H991" s="295">
        <f t="shared" si="233"/>
        <v>1010197.05</v>
      </c>
      <c r="I991" s="295">
        <f t="shared" si="233"/>
        <v>0</v>
      </c>
      <c r="J991" s="302">
        <f t="shared" si="233"/>
        <v>0</v>
      </c>
      <c r="K991" s="295">
        <f t="shared" si="233"/>
        <v>0</v>
      </c>
      <c r="L991" s="295">
        <f t="shared" si="233"/>
        <v>0</v>
      </c>
      <c r="M991" s="295">
        <f t="shared" si="233"/>
        <v>0</v>
      </c>
      <c r="N991" s="295">
        <f t="shared" si="233"/>
        <v>0</v>
      </c>
      <c r="O991" s="295">
        <f t="shared" si="233"/>
        <v>0</v>
      </c>
      <c r="P991" s="295">
        <f t="shared" si="233"/>
        <v>0</v>
      </c>
      <c r="Q991" s="295">
        <f t="shared" si="233"/>
        <v>0</v>
      </c>
      <c r="R991" s="295">
        <f t="shared" si="233"/>
        <v>0</v>
      </c>
      <c r="S991" s="295">
        <f t="shared" si="233"/>
        <v>0</v>
      </c>
      <c r="T991" s="295">
        <f t="shared" si="233"/>
        <v>0</v>
      </c>
      <c r="U991" s="238"/>
      <c r="V991" s="238"/>
      <c r="W991" s="186"/>
      <c r="X991" s="186"/>
      <c r="Y991" s="186"/>
      <c r="Z991" s="186"/>
      <c r="AA991" s="186"/>
      <c r="AB991" s="186"/>
      <c r="AC991" s="186"/>
      <c r="AD991" s="186"/>
      <c r="AE991" s="186"/>
      <c r="AF991" s="186"/>
      <c r="AG991" s="186"/>
      <c r="AH991" s="186"/>
      <c r="AI991" s="186"/>
    </row>
    <row r="992" spans="1:35" s="145" customFormat="1" ht="27" customHeight="1" x14ac:dyDescent="0.25">
      <c r="A992" s="259">
        <v>1</v>
      </c>
      <c r="B992" s="281" t="s">
        <v>1399</v>
      </c>
      <c r="C992" s="261">
        <f>D992+K992+L992+M992+N992+O992+P992+Q992+R992+S992+T992</f>
        <v>5313438.37</v>
      </c>
      <c r="D992" s="261">
        <f>SUM(E992:I992)</f>
        <v>5313438.37</v>
      </c>
      <c r="E992" s="261">
        <v>0</v>
      </c>
      <c r="F992" s="261">
        <v>4303241.32</v>
      </c>
      <c r="G992" s="261">
        <v>0</v>
      </c>
      <c r="H992" s="261">
        <v>1010197.05</v>
      </c>
      <c r="I992" s="261">
        <v>0</v>
      </c>
      <c r="J992" s="262">
        <v>0</v>
      </c>
      <c r="K992" s="261">
        <v>0</v>
      </c>
      <c r="L992" s="261">
        <v>0</v>
      </c>
      <c r="M992" s="261">
        <v>0</v>
      </c>
      <c r="N992" s="261">
        <v>0</v>
      </c>
      <c r="O992" s="261">
        <v>0</v>
      </c>
      <c r="P992" s="261">
        <v>0</v>
      </c>
      <c r="Q992" s="261">
        <v>0</v>
      </c>
      <c r="R992" s="261">
        <v>0</v>
      </c>
      <c r="S992" s="261">
        <v>0</v>
      </c>
      <c r="T992" s="261">
        <v>0</v>
      </c>
      <c r="U992" s="238"/>
      <c r="V992" s="238"/>
      <c r="W992" s="40"/>
      <c r="X992" s="40"/>
      <c r="Y992" s="40"/>
      <c r="Z992" s="40"/>
      <c r="AA992" s="40"/>
      <c r="AB992" s="40"/>
      <c r="AC992" s="40"/>
      <c r="AD992" s="40"/>
      <c r="AE992" s="40"/>
      <c r="AF992" s="40"/>
      <c r="AG992" s="40"/>
      <c r="AH992" s="40"/>
      <c r="AI992" s="40"/>
    </row>
    <row r="993" spans="1:35" s="145" customFormat="1" ht="27" customHeight="1" x14ac:dyDescent="0.25">
      <c r="A993" s="347" t="s">
        <v>351</v>
      </c>
      <c r="B993" s="347"/>
      <c r="C993" s="295">
        <f t="shared" ref="C993:T993" si="234">C994</f>
        <v>1132951.51</v>
      </c>
      <c r="D993" s="295">
        <f t="shared" si="234"/>
        <v>0</v>
      </c>
      <c r="E993" s="295">
        <f t="shared" si="234"/>
        <v>0</v>
      </c>
      <c r="F993" s="295">
        <f t="shared" si="234"/>
        <v>0</v>
      </c>
      <c r="G993" s="295">
        <f t="shared" si="234"/>
        <v>0</v>
      </c>
      <c r="H993" s="295">
        <f t="shared" si="234"/>
        <v>0</v>
      </c>
      <c r="I993" s="295">
        <f t="shared" si="234"/>
        <v>0</v>
      </c>
      <c r="J993" s="302">
        <f t="shared" si="234"/>
        <v>0</v>
      </c>
      <c r="K993" s="295">
        <f t="shared" si="234"/>
        <v>0</v>
      </c>
      <c r="L993" s="295">
        <f t="shared" si="234"/>
        <v>0</v>
      </c>
      <c r="M993" s="295">
        <f t="shared" si="234"/>
        <v>0</v>
      </c>
      <c r="N993" s="295">
        <f t="shared" si="234"/>
        <v>1132951.51</v>
      </c>
      <c r="O993" s="295">
        <f t="shared" si="234"/>
        <v>0</v>
      </c>
      <c r="P993" s="295">
        <f t="shared" si="234"/>
        <v>0</v>
      </c>
      <c r="Q993" s="295">
        <f t="shared" si="234"/>
        <v>0</v>
      </c>
      <c r="R993" s="295">
        <f t="shared" si="234"/>
        <v>0</v>
      </c>
      <c r="S993" s="295">
        <f t="shared" si="234"/>
        <v>0</v>
      </c>
      <c r="T993" s="295">
        <f t="shared" si="234"/>
        <v>0</v>
      </c>
      <c r="U993" s="252"/>
      <c r="V993" s="252"/>
      <c r="W993" s="186"/>
      <c r="X993" s="186"/>
      <c r="Y993" s="186"/>
      <c r="Z993" s="186"/>
      <c r="AA993" s="186"/>
      <c r="AB993" s="186"/>
      <c r="AC993" s="186"/>
      <c r="AD993" s="186"/>
      <c r="AE993" s="186"/>
      <c r="AF993" s="186"/>
      <c r="AG993" s="186"/>
      <c r="AH993" s="186"/>
      <c r="AI993" s="186"/>
    </row>
    <row r="994" spans="1:35" s="145" customFormat="1" ht="27" customHeight="1" x14ac:dyDescent="0.25">
      <c r="A994" s="259">
        <v>1</v>
      </c>
      <c r="B994" s="260" t="s">
        <v>820</v>
      </c>
      <c r="C994" s="261">
        <f>D994+K994+L994+M994+N994+O994+P994+Q994+R994+S994+T994</f>
        <v>1132951.51</v>
      </c>
      <c r="D994" s="261">
        <f>SUM(E994:I994)</f>
        <v>0</v>
      </c>
      <c r="E994" s="263">
        <v>0</v>
      </c>
      <c r="F994" s="263">
        <v>0</v>
      </c>
      <c r="G994" s="263">
        <v>0</v>
      </c>
      <c r="H994" s="263">
        <v>0</v>
      </c>
      <c r="I994" s="261">
        <v>0</v>
      </c>
      <c r="J994" s="262">
        <v>0</v>
      </c>
      <c r="K994" s="261">
        <v>0</v>
      </c>
      <c r="L994" s="261">
        <v>0</v>
      </c>
      <c r="M994" s="261">
        <v>0</v>
      </c>
      <c r="N994" s="261">
        <v>1132951.51</v>
      </c>
      <c r="O994" s="261">
        <v>0</v>
      </c>
      <c r="P994" s="263">
        <v>0</v>
      </c>
      <c r="Q994" s="261">
        <v>0</v>
      </c>
      <c r="R994" s="261">
        <v>0</v>
      </c>
      <c r="S994" s="261">
        <v>0</v>
      </c>
      <c r="T994" s="261">
        <v>0</v>
      </c>
      <c r="U994" s="253"/>
      <c r="V994" s="253"/>
      <c r="W994" s="40"/>
      <c r="X994" s="40"/>
      <c r="Y994" s="40"/>
      <c r="Z994" s="40"/>
      <c r="AA994" s="40"/>
      <c r="AB994" s="40"/>
      <c r="AC994" s="40"/>
      <c r="AD994" s="40"/>
      <c r="AE994" s="40"/>
      <c r="AF994" s="40"/>
      <c r="AG994" s="40"/>
      <c r="AH994" s="40"/>
      <c r="AI994" s="40"/>
    </row>
    <row r="995" spans="1:35" s="145" customFormat="1" ht="27" customHeight="1" x14ac:dyDescent="0.25">
      <c r="A995" s="347" t="s">
        <v>363</v>
      </c>
      <c r="B995" s="347"/>
      <c r="C995" s="295">
        <f t="shared" ref="C995:T995" si="235">SUM(C996:C997)</f>
        <v>40</v>
      </c>
      <c r="D995" s="295">
        <f t="shared" si="235"/>
        <v>40</v>
      </c>
      <c r="E995" s="295">
        <f t="shared" si="235"/>
        <v>40</v>
      </c>
      <c r="F995" s="295">
        <f t="shared" si="235"/>
        <v>0</v>
      </c>
      <c r="G995" s="295">
        <f t="shared" si="235"/>
        <v>0</v>
      </c>
      <c r="H995" s="295">
        <f t="shared" si="235"/>
        <v>0</v>
      </c>
      <c r="I995" s="295">
        <f t="shared" si="235"/>
        <v>0</v>
      </c>
      <c r="J995" s="302">
        <f t="shared" si="235"/>
        <v>0</v>
      </c>
      <c r="K995" s="295">
        <f t="shared" si="235"/>
        <v>0</v>
      </c>
      <c r="L995" s="295">
        <f t="shared" si="235"/>
        <v>0</v>
      </c>
      <c r="M995" s="295">
        <f t="shared" si="235"/>
        <v>0</v>
      </c>
      <c r="N995" s="295">
        <f t="shared" si="235"/>
        <v>0</v>
      </c>
      <c r="O995" s="295">
        <f t="shared" si="235"/>
        <v>0</v>
      </c>
      <c r="P995" s="295">
        <f t="shared" si="235"/>
        <v>0</v>
      </c>
      <c r="Q995" s="295">
        <f t="shared" si="235"/>
        <v>0</v>
      </c>
      <c r="R995" s="295">
        <f t="shared" si="235"/>
        <v>0</v>
      </c>
      <c r="S995" s="295">
        <f t="shared" si="235"/>
        <v>0</v>
      </c>
      <c r="T995" s="295">
        <f t="shared" si="235"/>
        <v>0</v>
      </c>
      <c r="U995" s="238"/>
      <c r="V995" s="238"/>
      <c r="W995" s="186"/>
      <c r="X995" s="186"/>
      <c r="Y995" s="186"/>
      <c r="Z995" s="186"/>
      <c r="AA995" s="186"/>
      <c r="AB995" s="186"/>
      <c r="AC995" s="186"/>
      <c r="AD995" s="186"/>
      <c r="AE995" s="186"/>
      <c r="AF995" s="186"/>
      <c r="AG995" s="186"/>
      <c r="AH995" s="186"/>
      <c r="AI995" s="186"/>
    </row>
    <row r="996" spans="1:35" s="145" customFormat="1" ht="27" customHeight="1" x14ac:dyDescent="0.25">
      <c r="A996" s="259">
        <v>1</v>
      </c>
      <c r="B996" s="260" t="s">
        <v>821</v>
      </c>
      <c r="C996" s="261">
        <f t="shared" ref="C996:C997" si="236">D996+K996+L996+M996+N996+O996+P996+Q996+R996+S996+T996</f>
        <v>-2308115.6</v>
      </c>
      <c r="D996" s="261">
        <f t="shared" ref="D996:D997" si="237">SUM(E996:I996)</f>
        <v>-2308115.6</v>
      </c>
      <c r="E996" s="261">
        <v>-2308115.6</v>
      </c>
      <c r="F996" s="263">
        <v>0</v>
      </c>
      <c r="G996" s="261">
        <v>0</v>
      </c>
      <c r="H996" s="261">
        <v>0</v>
      </c>
      <c r="I996" s="261">
        <v>0</v>
      </c>
      <c r="J996" s="262">
        <v>0</v>
      </c>
      <c r="K996" s="261">
        <v>0</v>
      </c>
      <c r="L996" s="261">
        <v>0</v>
      </c>
      <c r="M996" s="263">
        <v>0</v>
      </c>
      <c r="N996" s="261">
        <v>0</v>
      </c>
      <c r="O996" s="263">
        <v>0</v>
      </c>
      <c r="P996" s="261">
        <v>0</v>
      </c>
      <c r="Q996" s="263">
        <v>0</v>
      </c>
      <c r="R996" s="261">
        <v>0</v>
      </c>
      <c r="S996" s="263">
        <v>0</v>
      </c>
      <c r="T996" s="261">
        <v>0</v>
      </c>
      <c r="U996" s="243"/>
      <c r="V996" s="243"/>
      <c r="W996" s="40"/>
      <c r="X996" s="40"/>
      <c r="Y996" s="40"/>
      <c r="Z996" s="40"/>
      <c r="AA996" s="40"/>
      <c r="AB996" s="40"/>
      <c r="AC996" s="40"/>
      <c r="AD996" s="40"/>
      <c r="AE996" s="40"/>
      <c r="AF996" s="40"/>
      <c r="AG996" s="40"/>
      <c r="AH996" s="40"/>
      <c r="AI996" s="40"/>
    </row>
    <row r="997" spans="1:35" s="145" customFormat="1" ht="27" customHeight="1" x14ac:dyDescent="0.25">
      <c r="A997" s="259"/>
      <c r="B997" s="260" t="s">
        <v>821</v>
      </c>
      <c r="C997" s="261">
        <f t="shared" si="236"/>
        <v>2308155.6</v>
      </c>
      <c r="D997" s="261">
        <f t="shared" si="237"/>
        <v>2308155.6</v>
      </c>
      <c r="E997" s="261">
        <v>2308155.6</v>
      </c>
      <c r="F997" s="261">
        <v>0</v>
      </c>
      <c r="G997" s="261">
        <v>0</v>
      </c>
      <c r="H997" s="261">
        <v>0</v>
      </c>
      <c r="I997" s="261">
        <v>0</v>
      </c>
      <c r="J997" s="262">
        <v>0</v>
      </c>
      <c r="K997" s="261">
        <v>0</v>
      </c>
      <c r="L997" s="261">
        <v>0</v>
      </c>
      <c r="M997" s="261">
        <v>0</v>
      </c>
      <c r="N997" s="261">
        <v>0</v>
      </c>
      <c r="O997" s="261">
        <v>0</v>
      </c>
      <c r="P997" s="261">
        <v>0</v>
      </c>
      <c r="Q997" s="261">
        <v>0</v>
      </c>
      <c r="R997" s="261">
        <v>0</v>
      </c>
      <c r="S997" s="261">
        <v>0</v>
      </c>
      <c r="T997" s="261">
        <v>0</v>
      </c>
      <c r="U997" s="243"/>
      <c r="V997" s="243"/>
      <c r="W997" s="40"/>
      <c r="X997" s="40"/>
      <c r="Y997" s="40"/>
      <c r="Z997" s="40"/>
      <c r="AA997" s="40"/>
      <c r="AB997" s="40"/>
      <c r="AC997" s="40"/>
      <c r="AD997" s="40"/>
      <c r="AE997" s="40"/>
      <c r="AF997" s="40"/>
      <c r="AG997" s="40"/>
      <c r="AH997" s="40"/>
      <c r="AI997" s="40"/>
    </row>
    <row r="998" spans="1:35" s="145" customFormat="1" ht="23.25" customHeight="1" x14ac:dyDescent="0.25">
      <c r="A998" s="354" t="s">
        <v>382</v>
      </c>
      <c r="B998" s="354"/>
      <c r="C998" s="233">
        <f t="shared" ref="C998:T998" si="238">SUM(C999:C1012)</f>
        <v>10233715.550000001</v>
      </c>
      <c r="D998" s="233">
        <f t="shared" si="238"/>
        <v>4828677.7000000011</v>
      </c>
      <c r="E998" s="233">
        <f t="shared" si="238"/>
        <v>0</v>
      </c>
      <c r="F998" s="233">
        <f t="shared" si="238"/>
        <v>4828677.7000000011</v>
      </c>
      <c r="G998" s="233">
        <f t="shared" si="238"/>
        <v>0</v>
      </c>
      <c r="H998" s="233">
        <f t="shared" si="238"/>
        <v>0</v>
      </c>
      <c r="I998" s="233">
        <f t="shared" si="238"/>
        <v>0</v>
      </c>
      <c r="J998" s="234">
        <f t="shared" si="238"/>
        <v>0</v>
      </c>
      <c r="K998" s="233">
        <f t="shared" si="238"/>
        <v>0</v>
      </c>
      <c r="L998" s="233">
        <f t="shared" si="238"/>
        <v>4175025.96</v>
      </c>
      <c r="M998" s="233">
        <f t="shared" si="238"/>
        <v>0</v>
      </c>
      <c r="N998" s="233">
        <f t="shared" si="238"/>
        <v>1230011.8900000001</v>
      </c>
      <c r="O998" s="233">
        <f t="shared" si="238"/>
        <v>0</v>
      </c>
      <c r="P998" s="233">
        <f t="shared" si="238"/>
        <v>0</v>
      </c>
      <c r="Q998" s="233">
        <f t="shared" si="238"/>
        <v>0</v>
      </c>
      <c r="R998" s="233">
        <f t="shared" si="238"/>
        <v>0</v>
      </c>
      <c r="S998" s="233">
        <f t="shared" si="238"/>
        <v>0</v>
      </c>
      <c r="T998" s="233">
        <f t="shared" si="238"/>
        <v>0</v>
      </c>
      <c r="U998" s="235"/>
      <c r="V998" s="235"/>
    </row>
    <row r="999" spans="1:35" s="145" customFormat="1" ht="22.5" customHeight="1" x14ac:dyDescent="0.25">
      <c r="A999" s="259">
        <v>1</v>
      </c>
      <c r="B999" s="260" t="s">
        <v>822</v>
      </c>
      <c r="C999" s="261">
        <f t="shared" ref="C999:C1012" si="239">D999+K999+L999+M999+N999+O999+P999+Q999+R999+S999+T999</f>
        <v>584936.86</v>
      </c>
      <c r="D999" s="261">
        <f t="shared" ref="D999:D1012" si="240">SUM(E999:I999)</f>
        <v>0</v>
      </c>
      <c r="E999" s="261">
        <v>0</v>
      </c>
      <c r="F999" s="290">
        <v>0</v>
      </c>
      <c r="G999" s="290">
        <v>0</v>
      </c>
      <c r="H999" s="290">
        <v>0</v>
      </c>
      <c r="I999" s="290">
        <v>0</v>
      </c>
      <c r="J999" s="303">
        <v>0</v>
      </c>
      <c r="K999" s="290">
        <v>0</v>
      </c>
      <c r="L999" s="290">
        <v>0</v>
      </c>
      <c r="M999" s="290">
        <v>0</v>
      </c>
      <c r="N999" s="290">
        <v>584936.86</v>
      </c>
      <c r="O999" s="290">
        <v>0</v>
      </c>
      <c r="P999" s="290">
        <v>0</v>
      </c>
      <c r="Q999" s="290">
        <v>0</v>
      </c>
      <c r="R999" s="290">
        <v>0</v>
      </c>
      <c r="S999" s="290">
        <v>0</v>
      </c>
      <c r="T999" s="290">
        <v>0</v>
      </c>
      <c r="U999" s="304"/>
      <c r="V999" s="304"/>
    </row>
    <row r="1000" spans="1:35" s="145" customFormat="1" ht="22.5" customHeight="1" x14ac:dyDescent="0.25">
      <c r="A1000" s="259">
        <v>2</v>
      </c>
      <c r="B1000" s="260" t="s">
        <v>823</v>
      </c>
      <c r="C1000" s="261">
        <f t="shared" si="239"/>
        <v>0</v>
      </c>
      <c r="D1000" s="261">
        <f t="shared" si="240"/>
        <v>0</v>
      </c>
      <c r="E1000" s="261">
        <v>0</v>
      </c>
      <c r="F1000" s="290">
        <v>0</v>
      </c>
      <c r="G1000" s="290">
        <v>0</v>
      </c>
      <c r="H1000" s="290">
        <v>0</v>
      </c>
      <c r="I1000" s="290">
        <v>0</v>
      </c>
      <c r="J1000" s="303">
        <v>0</v>
      </c>
      <c r="K1000" s="290">
        <v>0</v>
      </c>
      <c r="L1000" s="290">
        <v>-645075.03</v>
      </c>
      <c r="M1000" s="290">
        <v>0</v>
      </c>
      <c r="N1000" s="290">
        <v>645075.03</v>
      </c>
      <c r="O1000" s="290">
        <v>0</v>
      </c>
      <c r="P1000" s="290">
        <v>0</v>
      </c>
      <c r="Q1000" s="290">
        <v>0</v>
      </c>
      <c r="R1000" s="290">
        <v>0</v>
      </c>
      <c r="S1000" s="290">
        <v>0</v>
      </c>
      <c r="T1000" s="290">
        <v>0</v>
      </c>
      <c r="U1000" s="264"/>
      <c r="V1000" s="264"/>
    </row>
    <row r="1001" spans="1:35" s="145" customFormat="1" ht="22.5" customHeight="1" x14ac:dyDescent="0.25">
      <c r="A1001" s="259">
        <v>3</v>
      </c>
      <c r="B1001" s="260" t="s">
        <v>824</v>
      </c>
      <c r="C1001" s="261">
        <f t="shared" si="239"/>
        <v>542338.79</v>
      </c>
      <c r="D1001" s="261">
        <f t="shared" si="240"/>
        <v>542338.79</v>
      </c>
      <c r="E1001" s="261">
        <v>0</v>
      </c>
      <c r="F1001" s="290">
        <v>542338.79</v>
      </c>
      <c r="G1001" s="290">
        <v>0</v>
      </c>
      <c r="H1001" s="290">
        <v>0</v>
      </c>
      <c r="I1001" s="290">
        <v>0</v>
      </c>
      <c r="J1001" s="303">
        <v>0</v>
      </c>
      <c r="K1001" s="290">
        <v>0</v>
      </c>
      <c r="L1001" s="290">
        <v>0</v>
      </c>
      <c r="M1001" s="290">
        <v>0</v>
      </c>
      <c r="N1001" s="290">
        <v>0</v>
      </c>
      <c r="O1001" s="290">
        <v>0</v>
      </c>
      <c r="P1001" s="290">
        <v>0</v>
      </c>
      <c r="Q1001" s="290">
        <v>0</v>
      </c>
      <c r="R1001" s="290">
        <v>0</v>
      </c>
      <c r="S1001" s="290">
        <v>0</v>
      </c>
      <c r="T1001" s="290">
        <v>0</v>
      </c>
      <c r="U1001" s="304"/>
      <c r="V1001" s="304"/>
    </row>
    <row r="1002" spans="1:35" s="145" customFormat="1" ht="22.5" customHeight="1" x14ac:dyDescent="0.25">
      <c r="A1002" s="259">
        <v>4</v>
      </c>
      <c r="B1002" s="260" t="s">
        <v>825</v>
      </c>
      <c r="C1002" s="261">
        <f t="shared" si="239"/>
        <v>534857.16</v>
      </c>
      <c r="D1002" s="261">
        <f t="shared" si="240"/>
        <v>534857.16</v>
      </c>
      <c r="E1002" s="261">
        <v>0</v>
      </c>
      <c r="F1002" s="290">
        <v>534857.16</v>
      </c>
      <c r="G1002" s="290">
        <v>0</v>
      </c>
      <c r="H1002" s="290">
        <v>0</v>
      </c>
      <c r="I1002" s="290">
        <v>0</v>
      </c>
      <c r="J1002" s="303">
        <v>0</v>
      </c>
      <c r="K1002" s="290">
        <v>0</v>
      </c>
      <c r="L1002" s="290">
        <v>0</v>
      </c>
      <c r="M1002" s="290">
        <v>0</v>
      </c>
      <c r="N1002" s="290">
        <v>0</v>
      </c>
      <c r="O1002" s="290">
        <v>0</v>
      </c>
      <c r="P1002" s="290">
        <v>0</v>
      </c>
      <c r="Q1002" s="290">
        <v>0</v>
      </c>
      <c r="R1002" s="290">
        <v>0</v>
      </c>
      <c r="S1002" s="290">
        <v>0</v>
      </c>
      <c r="T1002" s="290">
        <v>0</v>
      </c>
      <c r="U1002" s="304"/>
      <c r="V1002" s="304"/>
    </row>
    <row r="1003" spans="1:35" s="145" customFormat="1" ht="22.5" customHeight="1" x14ac:dyDescent="0.25">
      <c r="A1003" s="259">
        <v>5</v>
      </c>
      <c r="B1003" s="260" t="s">
        <v>826</v>
      </c>
      <c r="C1003" s="261">
        <f t="shared" si="239"/>
        <v>534857.16</v>
      </c>
      <c r="D1003" s="261">
        <f t="shared" si="240"/>
        <v>534857.16</v>
      </c>
      <c r="E1003" s="261">
        <v>0</v>
      </c>
      <c r="F1003" s="290">
        <v>534857.16</v>
      </c>
      <c r="G1003" s="290">
        <v>0</v>
      </c>
      <c r="H1003" s="290">
        <v>0</v>
      </c>
      <c r="I1003" s="290">
        <v>0</v>
      </c>
      <c r="J1003" s="303">
        <v>0</v>
      </c>
      <c r="K1003" s="290">
        <v>0</v>
      </c>
      <c r="L1003" s="290">
        <v>0</v>
      </c>
      <c r="M1003" s="290">
        <v>0</v>
      </c>
      <c r="N1003" s="290">
        <v>0</v>
      </c>
      <c r="O1003" s="290">
        <v>0</v>
      </c>
      <c r="P1003" s="290">
        <v>0</v>
      </c>
      <c r="Q1003" s="290">
        <v>0</v>
      </c>
      <c r="R1003" s="290">
        <v>0</v>
      </c>
      <c r="S1003" s="290">
        <v>0</v>
      </c>
      <c r="T1003" s="290">
        <v>0</v>
      </c>
      <c r="U1003" s="304"/>
      <c r="V1003" s="304"/>
    </row>
    <row r="1004" spans="1:35" s="145" customFormat="1" ht="22.5" customHeight="1" x14ac:dyDescent="0.25">
      <c r="A1004" s="259">
        <v>6</v>
      </c>
      <c r="B1004" s="260" t="s">
        <v>827</v>
      </c>
      <c r="C1004" s="261">
        <f t="shared" si="239"/>
        <v>534857.16</v>
      </c>
      <c r="D1004" s="261">
        <f t="shared" si="240"/>
        <v>534857.16</v>
      </c>
      <c r="E1004" s="261">
        <v>0</v>
      </c>
      <c r="F1004" s="290">
        <v>534857.16</v>
      </c>
      <c r="G1004" s="290">
        <v>0</v>
      </c>
      <c r="H1004" s="290">
        <v>0</v>
      </c>
      <c r="I1004" s="290">
        <v>0</v>
      </c>
      <c r="J1004" s="303">
        <v>0</v>
      </c>
      <c r="K1004" s="290">
        <v>0</v>
      </c>
      <c r="L1004" s="290">
        <v>0</v>
      </c>
      <c r="M1004" s="290">
        <v>0</v>
      </c>
      <c r="N1004" s="290">
        <v>0</v>
      </c>
      <c r="O1004" s="290">
        <v>0</v>
      </c>
      <c r="P1004" s="290">
        <v>0</v>
      </c>
      <c r="Q1004" s="290">
        <v>0</v>
      </c>
      <c r="R1004" s="290">
        <v>0</v>
      </c>
      <c r="S1004" s="290">
        <v>0</v>
      </c>
      <c r="T1004" s="290">
        <v>0</v>
      </c>
      <c r="U1004" s="304"/>
      <c r="V1004" s="304"/>
    </row>
    <row r="1005" spans="1:35" s="145" customFormat="1" ht="22.5" customHeight="1" x14ac:dyDescent="0.25">
      <c r="A1005" s="259">
        <v>7</v>
      </c>
      <c r="B1005" s="260" t="s">
        <v>828</v>
      </c>
      <c r="C1005" s="261">
        <f t="shared" si="239"/>
        <v>534857.16</v>
      </c>
      <c r="D1005" s="261">
        <f t="shared" si="240"/>
        <v>534857.16</v>
      </c>
      <c r="E1005" s="261">
        <v>0</v>
      </c>
      <c r="F1005" s="290">
        <v>534857.16</v>
      </c>
      <c r="G1005" s="290">
        <v>0</v>
      </c>
      <c r="H1005" s="290">
        <v>0</v>
      </c>
      <c r="I1005" s="290">
        <v>0</v>
      </c>
      <c r="J1005" s="303">
        <v>0</v>
      </c>
      <c r="K1005" s="290">
        <v>0</v>
      </c>
      <c r="L1005" s="290">
        <v>0</v>
      </c>
      <c r="M1005" s="290">
        <v>0</v>
      </c>
      <c r="N1005" s="290">
        <v>0</v>
      </c>
      <c r="O1005" s="290">
        <v>0</v>
      </c>
      <c r="P1005" s="290">
        <v>0</v>
      </c>
      <c r="Q1005" s="290">
        <v>0</v>
      </c>
      <c r="R1005" s="290">
        <v>0</v>
      </c>
      <c r="S1005" s="290">
        <v>0</v>
      </c>
      <c r="T1005" s="290">
        <v>0</v>
      </c>
      <c r="U1005" s="264"/>
      <c r="V1005" s="264"/>
    </row>
    <row r="1006" spans="1:35" s="145" customFormat="1" ht="22.5" customHeight="1" x14ac:dyDescent="0.25">
      <c r="A1006" s="259">
        <v>8</v>
      </c>
      <c r="B1006" s="260" t="s">
        <v>829</v>
      </c>
      <c r="C1006" s="261">
        <f t="shared" si="239"/>
        <v>534857.16</v>
      </c>
      <c r="D1006" s="261">
        <f t="shared" si="240"/>
        <v>534857.16</v>
      </c>
      <c r="E1006" s="261">
        <v>0</v>
      </c>
      <c r="F1006" s="290">
        <v>534857.16</v>
      </c>
      <c r="G1006" s="290">
        <v>0</v>
      </c>
      <c r="H1006" s="290">
        <v>0</v>
      </c>
      <c r="I1006" s="290">
        <v>0</v>
      </c>
      <c r="J1006" s="303">
        <v>0</v>
      </c>
      <c r="K1006" s="290">
        <v>0</v>
      </c>
      <c r="L1006" s="290">
        <v>0</v>
      </c>
      <c r="M1006" s="290">
        <v>0</v>
      </c>
      <c r="N1006" s="290">
        <v>0</v>
      </c>
      <c r="O1006" s="290">
        <v>0</v>
      </c>
      <c r="P1006" s="290">
        <v>0</v>
      </c>
      <c r="Q1006" s="290">
        <v>0</v>
      </c>
      <c r="R1006" s="290">
        <v>0</v>
      </c>
      <c r="S1006" s="290">
        <v>0</v>
      </c>
      <c r="T1006" s="290">
        <v>0</v>
      </c>
      <c r="U1006" s="304"/>
      <c r="V1006" s="304"/>
    </row>
    <row r="1007" spans="1:35" s="145" customFormat="1" ht="22.5" customHeight="1" x14ac:dyDescent="0.25">
      <c r="A1007" s="259">
        <v>9</v>
      </c>
      <c r="B1007" s="260" t="s">
        <v>830</v>
      </c>
      <c r="C1007" s="261">
        <f t="shared" si="239"/>
        <v>534857.16</v>
      </c>
      <c r="D1007" s="261">
        <f t="shared" si="240"/>
        <v>534857.16</v>
      </c>
      <c r="E1007" s="261">
        <v>0</v>
      </c>
      <c r="F1007" s="290">
        <v>534857.16</v>
      </c>
      <c r="G1007" s="290">
        <v>0</v>
      </c>
      <c r="H1007" s="290">
        <v>0</v>
      </c>
      <c r="I1007" s="290">
        <v>0</v>
      </c>
      <c r="J1007" s="303">
        <v>0</v>
      </c>
      <c r="K1007" s="290">
        <v>0</v>
      </c>
      <c r="L1007" s="290">
        <v>0</v>
      </c>
      <c r="M1007" s="290">
        <v>0</v>
      </c>
      <c r="N1007" s="290">
        <v>0</v>
      </c>
      <c r="O1007" s="290">
        <v>0</v>
      </c>
      <c r="P1007" s="290">
        <v>0</v>
      </c>
      <c r="Q1007" s="290">
        <v>0</v>
      </c>
      <c r="R1007" s="290">
        <v>0</v>
      </c>
      <c r="S1007" s="290">
        <v>0</v>
      </c>
      <c r="T1007" s="290">
        <v>0</v>
      </c>
      <c r="U1007" s="264"/>
      <c r="V1007" s="264"/>
    </row>
    <row r="1008" spans="1:35" s="145" customFormat="1" ht="22.5" customHeight="1" x14ac:dyDescent="0.25">
      <c r="A1008" s="259">
        <v>10</v>
      </c>
      <c r="B1008" s="260" t="s">
        <v>831</v>
      </c>
      <c r="C1008" s="261">
        <f t="shared" si="239"/>
        <v>534857.16</v>
      </c>
      <c r="D1008" s="261">
        <f t="shared" si="240"/>
        <v>534857.16</v>
      </c>
      <c r="E1008" s="261">
        <v>0</v>
      </c>
      <c r="F1008" s="290">
        <v>534857.16</v>
      </c>
      <c r="G1008" s="290">
        <v>0</v>
      </c>
      <c r="H1008" s="290">
        <v>0</v>
      </c>
      <c r="I1008" s="290">
        <v>0</v>
      </c>
      <c r="J1008" s="303">
        <v>0</v>
      </c>
      <c r="K1008" s="290">
        <v>0</v>
      </c>
      <c r="L1008" s="290">
        <v>0</v>
      </c>
      <c r="M1008" s="290">
        <v>0</v>
      </c>
      <c r="N1008" s="290">
        <v>0</v>
      </c>
      <c r="O1008" s="290">
        <v>0</v>
      </c>
      <c r="P1008" s="290">
        <v>0</v>
      </c>
      <c r="Q1008" s="290">
        <v>0</v>
      </c>
      <c r="R1008" s="290">
        <v>0</v>
      </c>
      <c r="S1008" s="290">
        <v>0</v>
      </c>
      <c r="T1008" s="290">
        <v>0</v>
      </c>
      <c r="U1008" s="304"/>
      <c r="V1008" s="304"/>
    </row>
    <row r="1009" spans="1:39" s="145" customFormat="1" ht="22.5" customHeight="1" x14ac:dyDescent="0.25">
      <c r="A1009" s="259">
        <v>11</v>
      </c>
      <c r="B1009" s="260" t="s">
        <v>832</v>
      </c>
      <c r="C1009" s="261">
        <f t="shared" si="239"/>
        <v>542338.79</v>
      </c>
      <c r="D1009" s="261">
        <f t="shared" si="240"/>
        <v>542338.79</v>
      </c>
      <c r="E1009" s="261">
        <v>0</v>
      </c>
      <c r="F1009" s="290">
        <v>542338.79</v>
      </c>
      <c r="G1009" s="290">
        <v>0</v>
      </c>
      <c r="H1009" s="290">
        <v>0</v>
      </c>
      <c r="I1009" s="290">
        <v>0</v>
      </c>
      <c r="J1009" s="303">
        <v>0</v>
      </c>
      <c r="K1009" s="290">
        <v>0</v>
      </c>
      <c r="L1009" s="290">
        <v>0</v>
      </c>
      <c r="M1009" s="290">
        <v>0</v>
      </c>
      <c r="N1009" s="290">
        <v>0</v>
      </c>
      <c r="O1009" s="290">
        <v>0</v>
      </c>
      <c r="P1009" s="290">
        <v>0</v>
      </c>
      <c r="Q1009" s="290">
        <v>0</v>
      </c>
      <c r="R1009" s="290">
        <v>0</v>
      </c>
      <c r="S1009" s="290">
        <v>0</v>
      </c>
      <c r="T1009" s="290">
        <v>0</v>
      </c>
      <c r="U1009" s="304"/>
      <c r="V1009" s="304"/>
    </row>
    <row r="1010" spans="1:39" s="145" customFormat="1" ht="22.5" customHeight="1" x14ac:dyDescent="0.25">
      <c r="A1010" s="259">
        <v>12</v>
      </c>
      <c r="B1010" s="41" t="s">
        <v>833</v>
      </c>
      <c r="C1010" s="261">
        <f t="shared" si="239"/>
        <v>994215.5</v>
      </c>
      <c r="D1010" s="261">
        <f t="shared" si="240"/>
        <v>0</v>
      </c>
      <c r="E1010" s="261">
        <v>0</v>
      </c>
      <c r="F1010" s="290">
        <v>0</v>
      </c>
      <c r="G1010" s="290">
        <v>0</v>
      </c>
      <c r="H1010" s="290">
        <v>0</v>
      </c>
      <c r="I1010" s="290">
        <v>0</v>
      </c>
      <c r="J1010" s="303">
        <v>0</v>
      </c>
      <c r="K1010" s="290">
        <v>0</v>
      </c>
      <c r="L1010" s="290">
        <v>994215.5</v>
      </c>
      <c r="M1010" s="290">
        <v>0</v>
      </c>
      <c r="N1010" s="290">
        <v>0</v>
      </c>
      <c r="O1010" s="290">
        <v>0</v>
      </c>
      <c r="P1010" s="290">
        <v>0</v>
      </c>
      <c r="Q1010" s="290">
        <v>0</v>
      </c>
      <c r="R1010" s="290">
        <v>0</v>
      </c>
      <c r="S1010" s="290">
        <v>0</v>
      </c>
      <c r="T1010" s="290">
        <v>0</v>
      </c>
      <c r="U1010" s="264"/>
      <c r="V1010" s="264"/>
    </row>
    <row r="1011" spans="1:39" s="145" customFormat="1" ht="22.5" customHeight="1" x14ac:dyDescent="0.25">
      <c r="A1011" s="259">
        <v>13</v>
      </c>
      <c r="B1011" s="305" t="s">
        <v>682</v>
      </c>
      <c r="C1011" s="306">
        <f t="shared" si="239"/>
        <v>1346613.52</v>
      </c>
      <c r="D1011" s="306">
        <f t="shared" si="240"/>
        <v>0</v>
      </c>
      <c r="E1011" s="306">
        <v>0</v>
      </c>
      <c r="F1011" s="307">
        <v>0</v>
      </c>
      <c r="G1011" s="307">
        <v>0</v>
      </c>
      <c r="H1011" s="307">
        <v>0</v>
      </c>
      <c r="I1011" s="307">
        <v>0</v>
      </c>
      <c r="J1011" s="308">
        <v>0</v>
      </c>
      <c r="K1011" s="307">
        <v>0</v>
      </c>
      <c r="L1011" s="307">
        <v>1346613.52</v>
      </c>
      <c r="M1011" s="307">
        <v>0</v>
      </c>
      <c r="N1011" s="307">
        <v>0</v>
      </c>
      <c r="O1011" s="307">
        <v>0</v>
      </c>
      <c r="P1011" s="307">
        <v>0</v>
      </c>
      <c r="Q1011" s="307">
        <v>0</v>
      </c>
      <c r="R1011" s="307">
        <v>0</v>
      </c>
      <c r="S1011" s="307">
        <v>0</v>
      </c>
      <c r="T1011" s="307">
        <v>0</v>
      </c>
      <c r="U1011" s="304"/>
      <c r="V1011" s="304"/>
    </row>
    <row r="1012" spans="1:39" s="145" customFormat="1" ht="22.5" customHeight="1" x14ac:dyDescent="0.25">
      <c r="A1012" s="259">
        <v>14</v>
      </c>
      <c r="B1012" s="260" t="s">
        <v>834</v>
      </c>
      <c r="C1012" s="261">
        <f t="shared" si="239"/>
        <v>2479271.9700000002</v>
      </c>
      <c r="D1012" s="261">
        <f t="shared" si="240"/>
        <v>0</v>
      </c>
      <c r="E1012" s="261">
        <v>0</v>
      </c>
      <c r="F1012" s="290">
        <v>0</v>
      </c>
      <c r="G1012" s="290">
        <v>0</v>
      </c>
      <c r="H1012" s="290">
        <v>0</v>
      </c>
      <c r="I1012" s="290">
        <v>0</v>
      </c>
      <c r="J1012" s="303">
        <v>0</v>
      </c>
      <c r="K1012" s="290">
        <v>0</v>
      </c>
      <c r="L1012" s="290">
        <v>2479271.9700000002</v>
      </c>
      <c r="M1012" s="290">
        <v>0</v>
      </c>
      <c r="N1012" s="290">
        <v>0</v>
      </c>
      <c r="O1012" s="290">
        <v>0</v>
      </c>
      <c r="P1012" s="290">
        <v>0</v>
      </c>
      <c r="Q1012" s="290">
        <v>0</v>
      </c>
      <c r="R1012" s="290">
        <v>0</v>
      </c>
      <c r="S1012" s="290">
        <v>0</v>
      </c>
      <c r="T1012" s="290">
        <v>0</v>
      </c>
      <c r="U1012" s="304"/>
      <c r="V1012" s="304"/>
    </row>
    <row r="1013" spans="1:39" s="145" customFormat="1" ht="22.5" customHeight="1" x14ac:dyDescent="0.25">
      <c r="A1013" s="347" t="s">
        <v>412</v>
      </c>
      <c r="B1013" s="347"/>
      <c r="C1013" s="295">
        <f t="shared" ref="C1013:T1013" si="241">SUM(C1014:C1017)</f>
        <v>-2057903.3999999994</v>
      </c>
      <c r="D1013" s="295">
        <f t="shared" si="241"/>
        <v>-2057903.3999999994</v>
      </c>
      <c r="E1013" s="295">
        <f t="shared" si="241"/>
        <v>0</v>
      </c>
      <c r="F1013" s="295">
        <f t="shared" si="241"/>
        <v>-1202520</v>
      </c>
      <c r="G1013" s="295">
        <f t="shared" si="241"/>
        <v>-318984.59999999998</v>
      </c>
      <c r="H1013" s="295">
        <f t="shared" si="241"/>
        <v>-119720.40000000002</v>
      </c>
      <c r="I1013" s="295">
        <f t="shared" si="241"/>
        <v>-416678.40000000014</v>
      </c>
      <c r="J1013" s="302">
        <f t="shared" si="241"/>
        <v>0</v>
      </c>
      <c r="K1013" s="295">
        <f t="shared" si="241"/>
        <v>0</v>
      </c>
      <c r="L1013" s="295">
        <f t="shared" si="241"/>
        <v>0</v>
      </c>
      <c r="M1013" s="295">
        <f t="shared" si="241"/>
        <v>0</v>
      </c>
      <c r="N1013" s="295">
        <f t="shared" si="241"/>
        <v>0</v>
      </c>
      <c r="O1013" s="295">
        <f t="shared" si="241"/>
        <v>0</v>
      </c>
      <c r="P1013" s="295">
        <f t="shared" si="241"/>
        <v>0</v>
      </c>
      <c r="Q1013" s="295">
        <f t="shared" si="241"/>
        <v>0</v>
      </c>
      <c r="R1013" s="295">
        <f t="shared" si="241"/>
        <v>0</v>
      </c>
      <c r="S1013" s="295">
        <f t="shared" si="241"/>
        <v>0</v>
      </c>
      <c r="T1013" s="295">
        <f t="shared" si="241"/>
        <v>0</v>
      </c>
      <c r="U1013" s="238"/>
      <c r="V1013" s="238"/>
      <c r="W1013" s="186"/>
      <c r="X1013" s="186"/>
      <c r="Y1013" s="186"/>
      <c r="Z1013" s="186"/>
      <c r="AA1013" s="186"/>
      <c r="AB1013" s="186"/>
      <c r="AC1013" s="186"/>
      <c r="AD1013" s="186"/>
      <c r="AE1013" s="186"/>
      <c r="AF1013" s="186"/>
      <c r="AG1013" s="186"/>
      <c r="AH1013" s="186"/>
      <c r="AI1013" s="186"/>
    </row>
    <row r="1014" spans="1:39" s="145" customFormat="1" ht="22.5" customHeight="1" x14ac:dyDescent="0.25">
      <c r="A1014" s="259">
        <v>1</v>
      </c>
      <c r="B1014" s="283" t="s">
        <v>419</v>
      </c>
      <c r="C1014" s="261">
        <f t="shared" ref="C1014:C1017" si="242">D1014+K1014+L1014+M1014+N1014+O1014+P1014+Q1014+R1014+S1014+T1014</f>
        <v>-459594</v>
      </c>
      <c r="D1014" s="261">
        <f t="shared" ref="D1014:D1017" si="243">SUM(E1014:I1014)</f>
        <v>-459594</v>
      </c>
      <c r="E1014" s="284">
        <v>0</v>
      </c>
      <c r="F1014" s="284">
        <v>0</v>
      </c>
      <c r="G1014" s="285">
        <v>0</v>
      </c>
      <c r="H1014" s="284">
        <v>-190591.2</v>
      </c>
      <c r="I1014" s="285">
        <v>-269002.8</v>
      </c>
      <c r="J1014" s="286">
        <v>0</v>
      </c>
      <c r="K1014" s="284">
        <v>0</v>
      </c>
      <c r="L1014" s="284">
        <v>0</v>
      </c>
      <c r="M1014" s="285">
        <v>0</v>
      </c>
      <c r="N1014" s="285">
        <v>0</v>
      </c>
      <c r="O1014" s="285">
        <v>0</v>
      </c>
      <c r="P1014" s="284">
        <v>0</v>
      </c>
      <c r="Q1014" s="285">
        <v>0</v>
      </c>
      <c r="R1014" s="285">
        <v>0</v>
      </c>
      <c r="S1014" s="285">
        <v>0</v>
      </c>
      <c r="T1014" s="285">
        <v>0</v>
      </c>
      <c r="U1014" s="243"/>
      <c r="V1014" s="243"/>
      <c r="W1014" s="40"/>
      <c r="X1014" s="40"/>
      <c r="Y1014" s="40"/>
      <c r="Z1014" s="40"/>
      <c r="AA1014" s="40"/>
      <c r="AB1014" s="40"/>
      <c r="AC1014" s="40"/>
      <c r="AD1014" s="40"/>
      <c r="AE1014" s="40"/>
      <c r="AF1014" s="40"/>
      <c r="AG1014" s="40"/>
      <c r="AH1014" s="40"/>
      <c r="AI1014" s="40"/>
    </row>
    <row r="1015" spans="1:39" s="145" customFormat="1" ht="22.5" customHeight="1" x14ac:dyDescent="0.25">
      <c r="A1015" s="259"/>
      <c r="B1015" s="283" t="s">
        <v>419</v>
      </c>
      <c r="C1015" s="261">
        <f t="shared" si="242"/>
        <v>201775.2</v>
      </c>
      <c r="D1015" s="261">
        <f t="shared" si="243"/>
        <v>201775.2</v>
      </c>
      <c r="E1015" s="284">
        <v>0</v>
      </c>
      <c r="F1015" s="284">
        <v>0</v>
      </c>
      <c r="G1015" s="285">
        <v>0</v>
      </c>
      <c r="H1015" s="284">
        <v>126085.2</v>
      </c>
      <c r="I1015" s="285">
        <v>75690</v>
      </c>
      <c r="J1015" s="286">
        <v>0</v>
      </c>
      <c r="K1015" s="284">
        <v>0</v>
      </c>
      <c r="L1015" s="284">
        <v>0</v>
      </c>
      <c r="M1015" s="285">
        <v>0</v>
      </c>
      <c r="N1015" s="285">
        <v>0</v>
      </c>
      <c r="O1015" s="285">
        <v>0</v>
      </c>
      <c r="P1015" s="284">
        <v>0</v>
      </c>
      <c r="Q1015" s="285">
        <v>0</v>
      </c>
      <c r="R1015" s="285">
        <v>0</v>
      </c>
      <c r="S1015" s="285">
        <v>0</v>
      </c>
      <c r="T1015" s="285">
        <v>0</v>
      </c>
      <c r="U1015" s="243"/>
      <c r="V1015" s="243"/>
      <c r="W1015" s="40"/>
      <c r="X1015" s="40"/>
      <c r="Y1015" s="40"/>
      <c r="Z1015" s="40"/>
      <c r="AA1015" s="40"/>
      <c r="AB1015" s="40"/>
      <c r="AC1015" s="40"/>
      <c r="AD1015" s="40"/>
      <c r="AE1015" s="40"/>
      <c r="AF1015" s="40"/>
      <c r="AG1015" s="40"/>
      <c r="AH1015" s="40"/>
      <c r="AI1015" s="40"/>
    </row>
    <row r="1016" spans="1:39" s="145" customFormat="1" ht="22.5" customHeight="1" x14ac:dyDescent="0.25">
      <c r="A1016" s="259">
        <v>2</v>
      </c>
      <c r="B1016" s="309" t="s">
        <v>835</v>
      </c>
      <c r="C1016" s="261">
        <f t="shared" si="242"/>
        <v>-7812895.1999999993</v>
      </c>
      <c r="D1016" s="261">
        <f t="shared" si="243"/>
        <v>-7812895.1999999993</v>
      </c>
      <c r="E1016" s="284">
        <v>0</v>
      </c>
      <c r="F1016" s="241">
        <v>-4981728</v>
      </c>
      <c r="G1016" s="241">
        <v>-1045713.6</v>
      </c>
      <c r="H1016" s="241">
        <v>-423396</v>
      </c>
      <c r="I1016" s="241">
        <v>-1362057.6</v>
      </c>
      <c r="J1016" s="286">
        <v>0</v>
      </c>
      <c r="K1016" s="284">
        <v>0</v>
      </c>
      <c r="L1016" s="284">
        <v>0</v>
      </c>
      <c r="M1016" s="285">
        <v>0</v>
      </c>
      <c r="N1016" s="285">
        <v>0</v>
      </c>
      <c r="O1016" s="285">
        <v>0</v>
      </c>
      <c r="P1016" s="284">
        <v>0</v>
      </c>
      <c r="Q1016" s="285">
        <v>0</v>
      </c>
      <c r="R1016" s="285">
        <v>0</v>
      </c>
      <c r="S1016" s="285">
        <v>0</v>
      </c>
      <c r="T1016" s="285">
        <v>0</v>
      </c>
      <c r="U1016" s="243"/>
      <c r="V1016" s="243"/>
      <c r="W1016" s="40"/>
      <c r="X1016" s="40"/>
      <c r="Y1016" s="40"/>
      <c r="Z1016" s="40"/>
      <c r="AA1016" s="40"/>
      <c r="AB1016" s="40"/>
      <c r="AC1016" s="40"/>
      <c r="AD1016" s="40"/>
      <c r="AE1016" s="40"/>
      <c r="AF1016" s="40"/>
      <c r="AG1016" s="40"/>
      <c r="AH1016" s="40"/>
      <c r="AI1016" s="40"/>
    </row>
    <row r="1017" spans="1:39" s="145" customFormat="1" ht="22.5" customHeight="1" x14ac:dyDescent="0.25">
      <c r="A1017" s="259"/>
      <c r="B1017" s="309" t="s">
        <v>835</v>
      </c>
      <c r="C1017" s="261">
        <f t="shared" si="242"/>
        <v>6012810.5999999996</v>
      </c>
      <c r="D1017" s="261">
        <f t="shared" si="243"/>
        <v>6012810.5999999996</v>
      </c>
      <c r="E1017" s="284">
        <v>0</v>
      </c>
      <c r="F1017" s="241">
        <v>3779208</v>
      </c>
      <c r="G1017" s="241">
        <v>726729</v>
      </c>
      <c r="H1017" s="241">
        <v>368181.6</v>
      </c>
      <c r="I1017" s="241">
        <v>1138692</v>
      </c>
      <c r="J1017" s="286">
        <v>0</v>
      </c>
      <c r="K1017" s="284">
        <v>0</v>
      </c>
      <c r="L1017" s="284">
        <v>0</v>
      </c>
      <c r="M1017" s="285">
        <v>0</v>
      </c>
      <c r="N1017" s="285">
        <v>0</v>
      </c>
      <c r="O1017" s="285">
        <v>0</v>
      </c>
      <c r="P1017" s="284">
        <v>0</v>
      </c>
      <c r="Q1017" s="285">
        <v>0</v>
      </c>
      <c r="R1017" s="285">
        <v>0</v>
      </c>
      <c r="S1017" s="285">
        <v>0</v>
      </c>
      <c r="T1017" s="285">
        <v>0</v>
      </c>
      <c r="U1017" s="243"/>
      <c r="V1017" s="243"/>
      <c r="W1017" s="40"/>
      <c r="X1017" s="40"/>
      <c r="Y1017" s="40"/>
      <c r="Z1017" s="40"/>
      <c r="AA1017" s="40"/>
      <c r="AB1017" s="40"/>
      <c r="AC1017" s="40"/>
      <c r="AD1017" s="40"/>
      <c r="AE1017" s="40"/>
      <c r="AF1017" s="40"/>
      <c r="AG1017" s="40"/>
      <c r="AH1017" s="40"/>
      <c r="AI1017" s="40"/>
    </row>
    <row r="1018" spans="1:39" s="145" customFormat="1" ht="22.5" customHeight="1" x14ac:dyDescent="0.25">
      <c r="A1018" s="347" t="s">
        <v>436</v>
      </c>
      <c r="B1018" s="347"/>
      <c r="C1018" s="295">
        <f t="shared" ref="C1018:T1018" si="244">SUM(C1019:C1020)</f>
        <v>-0.5</v>
      </c>
      <c r="D1018" s="295">
        <f t="shared" si="244"/>
        <v>0</v>
      </c>
      <c r="E1018" s="295">
        <f t="shared" si="244"/>
        <v>0</v>
      </c>
      <c r="F1018" s="295">
        <f t="shared" si="244"/>
        <v>0</v>
      </c>
      <c r="G1018" s="295">
        <f t="shared" si="244"/>
        <v>0</v>
      </c>
      <c r="H1018" s="295">
        <f t="shared" si="244"/>
        <v>0</v>
      </c>
      <c r="I1018" s="295">
        <f t="shared" si="244"/>
        <v>0</v>
      </c>
      <c r="J1018" s="302">
        <f t="shared" si="244"/>
        <v>0</v>
      </c>
      <c r="K1018" s="295">
        <f t="shared" si="244"/>
        <v>0</v>
      </c>
      <c r="L1018" s="295">
        <f t="shared" si="244"/>
        <v>-0.5</v>
      </c>
      <c r="M1018" s="295">
        <f t="shared" si="244"/>
        <v>0</v>
      </c>
      <c r="N1018" s="295">
        <f t="shared" si="244"/>
        <v>0</v>
      </c>
      <c r="O1018" s="295">
        <f t="shared" si="244"/>
        <v>0</v>
      </c>
      <c r="P1018" s="295">
        <f t="shared" si="244"/>
        <v>0</v>
      </c>
      <c r="Q1018" s="295">
        <f t="shared" si="244"/>
        <v>0</v>
      </c>
      <c r="R1018" s="295">
        <f t="shared" si="244"/>
        <v>0</v>
      </c>
      <c r="S1018" s="295">
        <f t="shared" si="244"/>
        <v>0</v>
      </c>
      <c r="T1018" s="295">
        <f t="shared" si="244"/>
        <v>0</v>
      </c>
      <c r="U1018" s="238"/>
      <c r="V1018" s="238"/>
      <c r="W1018" s="186"/>
      <c r="X1018" s="186"/>
      <c r="Y1018" s="186"/>
      <c r="Z1018" s="186"/>
      <c r="AA1018" s="186"/>
      <c r="AB1018" s="186"/>
      <c r="AC1018" s="186"/>
      <c r="AD1018" s="186"/>
      <c r="AE1018" s="186"/>
      <c r="AF1018" s="186"/>
      <c r="AG1018" s="186"/>
      <c r="AH1018" s="186"/>
      <c r="AI1018" s="186"/>
      <c r="AJ1018" s="186"/>
      <c r="AK1018" s="186"/>
      <c r="AL1018" s="186"/>
      <c r="AM1018" s="186"/>
    </row>
    <row r="1019" spans="1:39" s="145" customFormat="1" ht="22.5" customHeight="1" x14ac:dyDescent="0.25">
      <c r="A1019" s="259">
        <v>1</v>
      </c>
      <c r="B1019" s="260" t="s">
        <v>693</v>
      </c>
      <c r="C1019" s="261">
        <f t="shared" ref="C1019:C1020" si="245">D1019+K1019+L1019+M1019+N1019+O1019+P1019+Q1019+R1019+S1019+T1019</f>
        <v>-5867384.9000000004</v>
      </c>
      <c r="D1019" s="261">
        <f t="shared" ref="D1019:D1020" si="246">SUM(E1019:I1019)</f>
        <v>0</v>
      </c>
      <c r="E1019" s="261">
        <v>0</v>
      </c>
      <c r="F1019" s="261">
        <v>0</v>
      </c>
      <c r="G1019" s="261">
        <v>0</v>
      </c>
      <c r="H1019" s="261">
        <v>0</v>
      </c>
      <c r="I1019" s="261">
        <v>0</v>
      </c>
      <c r="J1019" s="262">
        <v>0</v>
      </c>
      <c r="K1019" s="261">
        <v>0</v>
      </c>
      <c r="L1019" s="261">
        <v>-5867384.9000000004</v>
      </c>
      <c r="M1019" s="261">
        <v>0</v>
      </c>
      <c r="N1019" s="261">
        <v>0</v>
      </c>
      <c r="O1019" s="261">
        <v>0</v>
      </c>
      <c r="P1019" s="263">
        <v>0</v>
      </c>
      <c r="Q1019" s="261">
        <v>0</v>
      </c>
      <c r="R1019" s="261">
        <v>0</v>
      </c>
      <c r="S1019" s="261">
        <v>0</v>
      </c>
      <c r="T1019" s="261">
        <v>0</v>
      </c>
      <c r="U1019" s="253"/>
      <c r="V1019" s="253"/>
      <c r="W1019" s="40"/>
      <c r="X1019" s="40"/>
      <c r="Y1019" s="40"/>
      <c r="Z1019" s="40"/>
      <c r="AA1019" s="40"/>
      <c r="AB1019" s="40"/>
      <c r="AC1019" s="40"/>
      <c r="AD1019" s="40"/>
      <c r="AE1019" s="40"/>
      <c r="AF1019" s="40"/>
      <c r="AG1019" s="40"/>
      <c r="AH1019" s="40"/>
      <c r="AI1019" s="40"/>
      <c r="AJ1019" s="40"/>
      <c r="AK1019" s="40"/>
      <c r="AL1019" s="40"/>
      <c r="AM1019" s="40"/>
    </row>
    <row r="1020" spans="1:39" s="145" customFormat="1" ht="22.5" customHeight="1" x14ac:dyDescent="0.25">
      <c r="A1020" s="259"/>
      <c r="B1020" s="260" t="s">
        <v>693</v>
      </c>
      <c r="C1020" s="261">
        <f t="shared" si="245"/>
        <v>5867384.4000000004</v>
      </c>
      <c r="D1020" s="261">
        <f t="shared" si="246"/>
        <v>0</v>
      </c>
      <c r="E1020" s="261">
        <v>0</v>
      </c>
      <c r="F1020" s="261">
        <v>0</v>
      </c>
      <c r="G1020" s="261">
        <v>0</v>
      </c>
      <c r="H1020" s="261">
        <v>0</v>
      </c>
      <c r="I1020" s="261">
        <v>0</v>
      </c>
      <c r="J1020" s="262">
        <v>0</v>
      </c>
      <c r="K1020" s="261">
        <v>0</v>
      </c>
      <c r="L1020" s="261">
        <v>5867384.4000000004</v>
      </c>
      <c r="M1020" s="261">
        <v>0</v>
      </c>
      <c r="N1020" s="261">
        <v>0</v>
      </c>
      <c r="O1020" s="261">
        <v>0</v>
      </c>
      <c r="P1020" s="263">
        <v>0</v>
      </c>
      <c r="Q1020" s="261">
        <v>0</v>
      </c>
      <c r="R1020" s="261">
        <v>0</v>
      </c>
      <c r="S1020" s="261">
        <v>0</v>
      </c>
      <c r="T1020" s="261">
        <v>0</v>
      </c>
      <c r="U1020" s="243"/>
      <c r="V1020" s="243"/>
      <c r="W1020" s="40"/>
      <c r="X1020" s="40"/>
      <c r="Y1020" s="40"/>
      <c r="Z1020" s="40"/>
      <c r="AA1020" s="40"/>
      <c r="AB1020" s="40"/>
      <c r="AC1020" s="40"/>
      <c r="AD1020" s="40"/>
      <c r="AE1020" s="40"/>
      <c r="AF1020" s="40"/>
      <c r="AG1020" s="40"/>
      <c r="AH1020" s="40"/>
      <c r="AI1020" s="40"/>
      <c r="AJ1020" s="40"/>
      <c r="AK1020" s="40"/>
      <c r="AL1020" s="40"/>
      <c r="AM1020" s="40"/>
    </row>
    <row r="1021" spans="1:39" s="145" customFormat="1" ht="37.5" customHeight="1" x14ac:dyDescent="0.25">
      <c r="A1021" s="348" t="s">
        <v>836</v>
      </c>
      <c r="B1021" s="349"/>
      <c r="C1021" s="295">
        <f t="shared" ref="C1021:T1021" si="247">C1022</f>
        <v>2202112.44</v>
      </c>
      <c r="D1021" s="295">
        <f t="shared" si="247"/>
        <v>-76408.850000000035</v>
      </c>
      <c r="E1021" s="295">
        <f t="shared" si="247"/>
        <v>0</v>
      </c>
      <c r="F1021" s="295">
        <f t="shared" si="247"/>
        <v>0</v>
      </c>
      <c r="G1021" s="295">
        <f t="shared" si="247"/>
        <v>0</v>
      </c>
      <c r="H1021" s="295">
        <f t="shared" si="247"/>
        <v>0</v>
      </c>
      <c r="I1021" s="295">
        <f t="shared" si="247"/>
        <v>-76408.850000000035</v>
      </c>
      <c r="J1021" s="302">
        <f t="shared" si="247"/>
        <v>0</v>
      </c>
      <c r="K1021" s="295">
        <f t="shared" si="247"/>
        <v>0</v>
      </c>
      <c r="L1021" s="295">
        <f t="shared" si="247"/>
        <v>0</v>
      </c>
      <c r="M1021" s="295">
        <f t="shared" si="247"/>
        <v>0</v>
      </c>
      <c r="N1021" s="295">
        <f t="shared" si="247"/>
        <v>2226523.29</v>
      </c>
      <c r="O1021" s="295">
        <f t="shared" si="247"/>
        <v>0</v>
      </c>
      <c r="P1021" s="295">
        <f t="shared" si="247"/>
        <v>15000</v>
      </c>
      <c r="Q1021" s="295">
        <f t="shared" si="247"/>
        <v>0</v>
      </c>
      <c r="R1021" s="295">
        <f t="shared" si="247"/>
        <v>36998</v>
      </c>
      <c r="S1021" s="295">
        <f t="shared" si="247"/>
        <v>0</v>
      </c>
      <c r="T1021" s="295">
        <f t="shared" si="247"/>
        <v>0</v>
      </c>
      <c r="U1021" s="252"/>
      <c r="V1021" s="252"/>
      <c r="W1021" s="186"/>
      <c r="X1021" s="186"/>
      <c r="Y1021" s="186"/>
      <c r="Z1021" s="186"/>
      <c r="AA1021" s="186"/>
      <c r="AB1021" s="186"/>
      <c r="AC1021" s="186"/>
      <c r="AD1021" s="186"/>
      <c r="AE1021" s="186"/>
      <c r="AF1021" s="186"/>
      <c r="AG1021" s="186"/>
      <c r="AH1021" s="186"/>
      <c r="AI1021" s="186"/>
    </row>
    <row r="1022" spans="1:39" s="145" customFormat="1" ht="22.5" customHeight="1" x14ac:dyDescent="0.25">
      <c r="A1022" s="350" t="s">
        <v>837</v>
      </c>
      <c r="B1022" s="350"/>
      <c r="C1022" s="295">
        <f t="shared" ref="C1022:T1022" si="248">SUM(C1023:C1025)</f>
        <v>2202112.44</v>
      </c>
      <c r="D1022" s="295">
        <f t="shared" si="248"/>
        <v>-76408.850000000035</v>
      </c>
      <c r="E1022" s="295">
        <f t="shared" si="248"/>
        <v>0</v>
      </c>
      <c r="F1022" s="295">
        <f t="shared" si="248"/>
        <v>0</v>
      </c>
      <c r="G1022" s="295">
        <f t="shared" si="248"/>
        <v>0</v>
      </c>
      <c r="H1022" s="295">
        <f t="shared" si="248"/>
        <v>0</v>
      </c>
      <c r="I1022" s="295">
        <f t="shared" si="248"/>
        <v>-76408.850000000035</v>
      </c>
      <c r="J1022" s="302">
        <f t="shared" si="248"/>
        <v>0</v>
      </c>
      <c r="K1022" s="295">
        <f t="shared" si="248"/>
        <v>0</v>
      </c>
      <c r="L1022" s="295">
        <f t="shared" si="248"/>
        <v>0</v>
      </c>
      <c r="M1022" s="295">
        <f t="shared" si="248"/>
        <v>0</v>
      </c>
      <c r="N1022" s="295">
        <f t="shared" si="248"/>
        <v>2226523.29</v>
      </c>
      <c r="O1022" s="295">
        <f t="shared" si="248"/>
        <v>0</v>
      </c>
      <c r="P1022" s="295">
        <f t="shared" si="248"/>
        <v>15000</v>
      </c>
      <c r="Q1022" s="295">
        <f t="shared" si="248"/>
        <v>0</v>
      </c>
      <c r="R1022" s="295">
        <f t="shared" si="248"/>
        <v>36998</v>
      </c>
      <c r="S1022" s="295">
        <f t="shared" si="248"/>
        <v>0</v>
      </c>
      <c r="T1022" s="295">
        <f t="shared" si="248"/>
        <v>0</v>
      </c>
      <c r="U1022" s="252"/>
      <c r="V1022" s="252"/>
      <c r="W1022" s="186"/>
      <c r="X1022" s="186"/>
      <c r="Y1022" s="186"/>
      <c r="Z1022" s="186"/>
      <c r="AA1022" s="186"/>
      <c r="AB1022" s="186"/>
      <c r="AC1022" s="186"/>
      <c r="AD1022" s="186"/>
      <c r="AE1022" s="186"/>
      <c r="AF1022" s="186"/>
      <c r="AG1022" s="186"/>
      <c r="AH1022" s="186"/>
      <c r="AI1022" s="186"/>
    </row>
    <row r="1023" spans="1:39" s="145" customFormat="1" ht="22.5" customHeight="1" x14ac:dyDescent="0.25">
      <c r="A1023" s="259">
        <v>1</v>
      </c>
      <c r="B1023" s="260" t="s">
        <v>838</v>
      </c>
      <c r="C1023" s="261">
        <f t="shared" ref="C1023:C1025" si="249">D1023+K1023+L1023+M1023+N1023+O1023+P1023+Q1023+R1023+S1023+T1023</f>
        <v>-342169.2</v>
      </c>
      <c r="D1023" s="261">
        <f t="shared" ref="D1023:D1025" si="250">SUM(E1023:I1023)</f>
        <v>-342169.2</v>
      </c>
      <c r="E1023" s="263">
        <v>0</v>
      </c>
      <c r="F1023" s="261">
        <v>0</v>
      </c>
      <c r="G1023" s="261">
        <v>0</v>
      </c>
      <c r="H1023" s="263">
        <v>0</v>
      </c>
      <c r="I1023" s="261">
        <v>-342169.2</v>
      </c>
      <c r="J1023" s="262">
        <v>0</v>
      </c>
      <c r="K1023" s="261">
        <v>0</v>
      </c>
      <c r="L1023" s="261">
        <v>0</v>
      </c>
      <c r="M1023" s="261">
        <v>0</v>
      </c>
      <c r="N1023" s="261">
        <v>0</v>
      </c>
      <c r="O1023" s="261">
        <v>0</v>
      </c>
      <c r="P1023" s="261">
        <v>0</v>
      </c>
      <c r="Q1023" s="261">
        <v>0</v>
      </c>
      <c r="R1023" s="290">
        <v>0</v>
      </c>
      <c r="S1023" s="261">
        <v>0</v>
      </c>
      <c r="T1023" s="261">
        <v>0</v>
      </c>
      <c r="U1023" s="264"/>
      <c r="V1023" s="264"/>
      <c r="W1023" s="40"/>
      <c r="X1023" s="40"/>
      <c r="Y1023" s="40"/>
      <c r="Z1023" s="40"/>
      <c r="AA1023" s="40"/>
      <c r="AB1023" s="40"/>
      <c r="AC1023" s="40"/>
      <c r="AD1023" s="40"/>
      <c r="AE1023" s="40"/>
      <c r="AF1023" s="40"/>
      <c r="AG1023" s="40"/>
      <c r="AH1023" s="40"/>
      <c r="AI1023" s="40"/>
    </row>
    <row r="1024" spans="1:39" s="145" customFormat="1" ht="22.5" customHeight="1" x14ac:dyDescent="0.25">
      <c r="A1024" s="259">
        <v>2</v>
      </c>
      <c r="B1024" s="260" t="s">
        <v>1400</v>
      </c>
      <c r="C1024" s="261">
        <f t="shared" si="249"/>
        <v>418399.48</v>
      </c>
      <c r="D1024" s="261">
        <f t="shared" si="250"/>
        <v>0</v>
      </c>
      <c r="E1024" s="263">
        <v>0</v>
      </c>
      <c r="F1024" s="261">
        <v>0</v>
      </c>
      <c r="G1024" s="261">
        <v>0</v>
      </c>
      <c r="H1024" s="263">
        <v>0</v>
      </c>
      <c r="I1024" s="261">
        <v>0</v>
      </c>
      <c r="J1024" s="262">
        <v>0</v>
      </c>
      <c r="K1024" s="261">
        <v>0</v>
      </c>
      <c r="L1024" s="261">
        <v>0</v>
      </c>
      <c r="M1024" s="261">
        <v>0</v>
      </c>
      <c r="N1024" s="261">
        <v>366401.48</v>
      </c>
      <c r="O1024" s="261">
        <v>0</v>
      </c>
      <c r="P1024" s="261">
        <v>15000</v>
      </c>
      <c r="Q1024" s="261">
        <v>0</v>
      </c>
      <c r="R1024" s="290">
        <v>36998</v>
      </c>
      <c r="S1024" s="261">
        <v>0</v>
      </c>
      <c r="T1024" s="261">
        <v>0</v>
      </c>
      <c r="U1024" s="264"/>
      <c r="V1024" s="264"/>
      <c r="W1024" s="40"/>
      <c r="X1024" s="40"/>
      <c r="Y1024" s="40"/>
      <c r="Z1024" s="40"/>
      <c r="AA1024" s="40"/>
      <c r="AB1024" s="40"/>
      <c r="AC1024" s="40"/>
      <c r="AD1024" s="40"/>
      <c r="AE1024" s="40"/>
      <c r="AF1024" s="40"/>
      <c r="AG1024" s="40"/>
      <c r="AH1024" s="40"/>
      <c r="AI1024" s="40"/>
    </row>
    <row r="1025" spans="1:39" s="145" customFormat="1" ht="22.5" customHeight="1" x14ac:dyDescent="0.25">
      <c r="A1025" s="259">
        <v>3</v>
      </c>
      <c r="B1025" s="260" t="s">
        <v>840</v>
      </c>
      <c r="C1025" s="261">
        <f t="shared" si="249"/>
        <v>2125882.16</v>
      </c>
      <c r="D1025" s="261">
        <f t="shared" si="250"/>
        <v>265760.34999999998</v>
      </c>
      <c r="E1025" s="263">
        <v>0</v>
      </c>
      <c r="F1025" s="261">
        <v>0</v>
      </c>
      <c r="G1025" s="261">
        <v>0</v>
      </c>
      <c r="H1025" s="263">
        <v>0</v>
      </c>
      <c r="I1025" s="261">
        <v>265760.34999999998</v>
      </c>
      <c r="J1025" s="262">
        <v>0</v>
      </c>
      <c r="K1025" s="261">
        <v>0</v>
      </c>
      <c r="L1025" s="261">
        <v>0</v>
      </c>
      <c r="M1025" s="261">
        <v>0</v>
      </c>
      <c r="N1025" s="261">
        <v>1860121.81</v>
      </c>
      <c r="O1025" s="261">
        <v>0</v>
      </c>
      <c r="P1025" s="261">
        <v>0</v>
      </c>
      <c r="Q1025" s="261">
        <v>0</v>
      </c>
      <c r="R1025" s="290">
        <v>0</v>
      </c>
      <c r="S1025" s="261">
        <v>0</v>
      </c>
      <c r="T1025" s="261">
        <v>0</v>
      </c>
      <c r="U1025" s="264"/>
      <c r="V1025" s="264"/>
      <c r="W1025" s="40"/>
      <c r="X1025" s="40"/>
      <c r="Y1025" s="40"/>
      <c r="Z1025" s="40"/>
      <c r="AA1025" s="40"/>
      <c r="AB1025" s="40"/>
      <c r="AC1025" s="40"/>
      <c r="AD1025" s="40"/>
      <c r="AE1025" s="40"/>
      <c r="AF1025" s="40"/>
      <c r="AG1025" s="40"/>
      <c r="AH1025" s="40"/>
      <c r="AI1025" s="40"/>
    </row>
    <row r="1026" spans="1:39" s="145" customFormat="1" ht="22.5" customHeight="1" x14ac:dyDescent="0.25">
      <c r="A1026" s="347" t="s">
        <v>482</v>
      </c>
      <c r="B1026" s="347"/>
      <c r="C1026" s="295">
        <f t="shared" ref="C1026:T1026" si="251">SUM(C1027:C1028)</f>
        <v>-157403.87999999989</v>
      </c>
      <c r="D1026" s="295">
        <f t="shared" si="251"/>
        <v>0</v>
      </c>
      <c r="E1026" s="295">
        <f t="shared" si="251"/>
        <v>0</v>
      </c>
      <c r="F1026" s="295">
        <f t="shared" si="251"/>
        <v>0</v>
      </c>
      <c r="G1026" s="295">
        <f t="shared" si="251"/>
        <v>0</v>
      </c>
      <c r="H1026" s="295">
        <f t="shared" si="251"/>
        <v>0</v>
      </c>
      <c r="I1026" s="295">
        <f t="shared" si="251"/>
        <v>0</v>
      </c>
      <c r="J1026" s="302">
        <f t="shared" si="251"/>
        <v>0</v>
      </c>
      <c r="K1026" s="295">
        <f t="shared" si="251"/>
        <v>0</v>
      </c>
      <c r="L1026" s="295">
        <f t="shared" si="251"/>
        <v>-157403.87999999989</v>
      </c>
      <c r="M1026" s="295">
        <f t="shared" si="251"/>
        <v>0</v>
      </c>
      <c r="N1026" s="295">
        <f t="shared" si="251"/>
        <v>0</v>
      </c>
      <c r="O1026" s="295">
        <f t="shared" si="251"/>
        <v>0</v>
      </c>
      <c r="P1026" s="295">
        <f t="shared" si="251"/>
        <v>0</v>
      </c>
      <c r="Q1026" s="295">
        <f t="shared" si="251"/>
        <v>0</v>
      </c>
      <c r="R1026" s="295">
        <f t="shared" si="251"/>
        <v>0</v>
      </c>
      <c r="S1026" s="295">
        <f t="shared" si="251"/>
        <v>0</v>
      </c>
      <c r="T1026" s="295">
        <f t="shared" si="251"/>
        <v>0</v>
      </c>
      <c r="U1026" s="238"/>
      <c r="V1026" s="238"/>
      <c r="W1026" s="186"/>
      <c r="X1026" s="186"/>
      <c r="Y1026" s="186"/>
      <c r="Z1026" s="186"/>
      <c r="AA1026" s="186"/>
      <c r="AB1026" s="186"/>
      <c r="AC1026" s="186"/>
      <c r="AD1026" s="186"/>
      <c r="AE1026" s="186"/>
      <c r="AF1026" s="186"/>
      <c r="AG1026" s="186"/>
      <c r="AH1026" s="186"/>
      <c r="AI1026" s="186"/>
      <c r="AJ1026" s="186"/>
      <c r="AK1026" s="186"/>
      <c r="AL1026" s="186"/>
      <c r="AM1026" s="186"/>
    </row>
    <row r="1027" spans="1:39" s="145" customFormat="1" ht="22.5" customHeight="1" x14ac:dyDescent="0.25">
      <c r="A1027" s="293">
        <v>1</v>
      </c>
      <c r="B1027" s="281" t="s">
        <v>841</v>
      </c>
      <c r="C1027" s="261">
        <f t="shared" ref="C1027:C1028" si="252">D1027+K1027+L1027+M1027+N1027+O1027+P1027+Q1027+R1027+S1027+T1027</f>
        <v>-4463037.41</v>
      </c>
      <c r="D1027" s="261">
        <f t="shared" ref="D1027:D1028" si="253">SUM(E1027:I1027)</f>
        <v>0</v>
      </c>
      <c r="E1027" s="263">
        <v>0</v>
      </c>
      <c r="F1027" s="263">
        <v>0</v>
      </c>
      <c r="G1027" s="261">
        <v>0</v>
      </c>
      <c r="H1027" s="261">
        <v>0</v>
      </c>
      <c r="I1027" s="261">
        <v>0</v>
      </c>
      <c r="J1027" s="262">
        <v>0</v>
      </c>
      <c r="K1027" s="261">
        <v>0</v>
      </c>
      <c r="L1027" s="261">
        <v>-4463037.41</v>
      </c>
      <c r="M1027" s="261">
        <v>0</v>
      </c>
      <c r="N1027" s="261">
        <v>0</v>
      </c>
      <c r="O1027" s="263">
        <v>0</v>
      </c>
      <c r="P1027" s="263">
        <v>0</v>
      </c>
      <c r="Q1027" s="261">
        <v>0</v>
      </c>
      <c r="R1027" s="261">
        <v>0</v>
      </c>
      <c r="S1027" s="261">
        <v>0</v>
      </c>
      <c r="T1027" s="261">
        <v>0</v>
      </c>
      <c r="U1027" s="243"/>
      <c r="V1027" s="243"/>
      <c r="W1027" s="40"/>
      <c r="X1027" s="40"/>
      <c r="Y1027" s="40"/>
      <c r="Z1027" s="40"/>
      <c r="AA1027" s="40"/>
      <c r="AB1027" s="40"/>
      <c r="AC1027" s="40"/>
      <c r="AD1027" s="40"/>
      <c r="AE1027" s="40"/>
      <c r="AF1027" s="40"/>
      <c r="AG1027" s="40"/>
      <c r="AH1027" s="40"/>
      <c r="AI1027" s="40"/>
      <c r="AJ1027" s="40"/>
      <c r="AK1027" s="40"/>
      <c r="AL1027" s="40"/>
      <c r="AM1027" s="40"/>
    </row>
    <row r="1028" spans="1:39" s="145" customFormat="1" ht="22.5" customHeight="1" x14ac:dyDescent="0.25">
      <c r="A1028" s="293"/>
      <c r="B1028" s="281" t="s">
        <v>841</v>
      </c>
      <c r="C1028" s="261">
        <f t="shared" si="252"/>
        <v>4305633.53</v>
      </c>
      <c r="D1028" s="261">
        <f t="shared" si="253"/>
        <v>0</v>
      </c>
      <c r="E1028" s="263">
        <v>0</v>
      </c>
      <c r="F1028" s="263">
        <v>0</v>
      </c>
      <c r="G1028" s="261">
        <v>0</v>
      </c>
      <c r="H1028" s="261">
        <v>0</v>
      </c>
      <c r="I1028" s="261">
        <v>0</v>
      </c>
      <c r="J1028" s="262">
        <v>0</v>
      </c>
      <c r="K1028" s="261">
        <v>0</v>
      </c>
      <c r="L1028" s="261">
        <v>4305633.53</v>
      </c>
      <c r="M1028" s="261">
        <v>0</v>
      </c>
      <c r="N1028" s="261">
        <v>0</v>
      </c>
      <c r="O1028" s="263">
        <v>0</v>
      </c>
      <c r="P1028" s="263">
        <v>0</v>
      </c>
      <c r="Q1028" s="261">
        <v>0</v>
      </c>
      <c r="R1028" s="261">
        <v>0</v>
      </c>
      <c r="S1028" s="261">
        <v>0</v>
      </c>
      <c r="T1028" s="261">
        <v>0</v>
      </c>
      <c r="U1028" s="243"/>
      <c r="V1028" s="243"/>
      <c r="W1028" s="40"/>
      <c r="X1028" s="40"/>
      <c r="Y1028" s="40"/>
      <c r="Z1028" s="40"/>
      <c r="AA1028" s="40"/>
      <c r="AB1028" s="40"/>
      <c r="AC1028" s="40"/>
      <c r="AD1028" s="40"/>
      <c r="AE1028" s="40"/>
      <c r="AF1028" s="40"/>
      <c r="AG1028" s="40"/>
      <c r="AH1028" s="40"/>
      <c r="AI1028" s="40"/>
      <c r="AJ1028" s="40"/>
      <c r="AK1028" s="40"/>
      <c r="AL1028" s="40"/>
      <c r="AM1028" s="40"/>
    </row>
    <row r="1029" spans="1:39" s="145" customFormat="1" ht="22.5" customHeight="1" x14ac:dyDescent="0.25">
      <c r="A1029" s="347" t="s">
        <v>503</v>
      </c>
      <c r="B1029" s="347"/>
      <c r="C1029" s="295">
        <f t="shared" ref="C1029:T1029" si="254">C1030</f>
        <v>840000</v>
      </c>
      <c r="D1029" s="295">
        <f t="shared" si="254"/>
        <v>0</v>
      </c>
      <c r="E1029" s="295">
        <f t="shared" si="254"/>
        <v>0</v>
      </c>
      <c r="F1029" s="295">
        <f t="shared" si="254"/>
        <v>0</v>
      </c>
      <c r="G1029" s="295">
        <f t="shared" si="254"/>
        <v>0</v>
      </c>
      <c r="H1029" s="295">
        <f t="shared" si="254"/>
        <v>0</v>
      </c>
      <c r="I1029" s="295">
        <f t="shared" si="254"/>
        <v>0</v>
      </c>
      <c r="J1029" s="302">
        <f t="shared" si="254"/>
        <v>0</v>
      </c>
      <c r="K1029" s="295">
        <f t="shared" si="254"/>
        <v>0</v>
      </c>
      <c r="L1029" s="295">
        <f t="shared" si="254"/>
        <v>0</v>
      </c>
      <c r="M1029" s="295">
        <f t="shared" si="254"/>
        <v>0</v>
      </c>
      <c r="N1029" s="295">
        <f t="shared" si="254"/>
        <v>840000</v>
      </c>
      <c r="O1029" s="295">
        <f t="shared" si="254"/>
        <v>0</v>
      </c>
      <c r="P1029" s="295">
        <f t="shared" si="254"/>
        <v>0</v>
      </c>
      <c r="Q1029" s="295">
        <f t="shared" si="254"/>
        <v>0</v>
      </c>
      <c r="R1029" s="295">
        <f t="shared" si="254"/>
        <v>0</v>
      </c>
      <c r="S1029" s="295">
        <f t="shared" si="254"/>
        <v>0</v>
      </c>
      <c r="T1029" s="295">
        <f t="shared" si="254"/>
        <v>0</v>
      </c>
      <c r="U1029" s="238"/>
      <c r="V1029" s="238"/>
      <c r="W1029" s="186"/>
      <c r="X1029" s="186"/>
      <c r="Y1029" s="186"/>
      <c r="Z1029" s="186"/>
      <c r="AA1029" s="186"/>
      <c r="AB1029" s="186"/>
      <c r="AC1029" s="186"/>
      <c r="AD1029" s="186"/>
      <c r="AE1029" s="186"/>
      <c r="AF1029" s="186"/>
      <c r="AG1029" s="186"/>
      <c r="AH1029" s="186"/>
      <c r="AI1029" s="186"/>
      <c r="AJ1029" s="186"/>
      <c r="AK1029" s="186"/>
      <c r="AL1029" s="186"/>
      <c r="AM1029" s="186"/>
    </row>
    <row r="1030" spans="1:39" s="145" customFormat="1" ht="22.5" customHeight="1" x14ac:dyDescent="0.25">
      <c r="A1030" s="293">
        <v>1</v>
      </c>
      <c r="B1030" s="281" t="s">
        <v>842</v>
      </c>
      <c r="C1030" s="261">
        <f>D1030+K1030+L1030+M1030+N1030+O1030+P1030+Q1030+R1030+S1030+T1030</f>
        <v>840000</v>
      </c>
      <c r="D1030" s="261">
        <f>SUM(E1030:I1030)</f>
        <v>0</v>
      </c>
      <c r="E1030" s="263">
        <v>0</v>
      </c>
      <c r="F1030" s="263">
        <v>0</v>
      </c>
      <c r="G1030" s="261">
        <v>0</v>
      </c>
      <c r="H1030" s="261">
        <v>0</v>
      </c>
      <c r="I1030" s="261">
        <v>0</v>
      </c>
      <c r="J1030" s="262">
        <v>0</v>
      </c>
      <c r="K1030" s="261">
        <v>0</v>
      </c>
      <c r="L1030" s="261">
        <v>0</v>
      </c>
      <c r="M1030" s="261">
        <v>0</v>
      </c>
      <c r="N1030" s="261">
        <v>840000</v>
      </c>
      <c r="O1030" s="263">
        <v>0</v>
      </c>
      <c r="P1030" s="263">
        <v>0</v>
      </c>
      <c r="Q1030" s="261">
        <v>0</v>
      </c>
      <c r="R1030" s="261">
        <v>0</v>
      </c>
      <c r="S1030" s="261">
        <v>0</v>
      </c>
      <c r="T1030" s="261">
        <v>0</v>
      </c>
      <c r="U1030" s="243"/>
      <c r="V1030" s="243"/>
      <c r="W1030" s="40"/>
      <c r="X1030" s="40"/>
      <c r="Y1030" s="40"/>
      <c r="Z1030" s="40"/>
      <c r="AA1030" s="40"/>
      <c r="AB1030" s="40"/>
      <c r="AC1030" s="40"/>
      <c r="AD1030" s="40"/>
      <c r="AE1030" s="40"/>
      <c r="AF1030" s="40"/>
      <c r="AG1030" s="40"/>
      <c r="AH1030" s="40"/>
      <c r="AI1030" s="40"/>
      <c r="AJ1030" s="40"/>
      <c r="AK1030" s="40"/>
      <c r="AL1030" s="40"/>
      <c r="AM1030" s="40"/>
    </row>
    <row r="1031" spans="1:39" s="145" customFormat="1" x14ac:dyDescent="0.25">
      <c r="A1031" s="310"/>
      <c r="B1031" s="311"/>
      <c r="C1031" s="312"/>
      <c r="D1031" s="312"/>
      <c r="E1031" s="313"/>
      <c r="F1031" s="313"/>
      <c r="G1031" s="312"/>
      <c r="H1031" s="312"/>
      <c r="I1031" s="312"/>
      <c r="J1031" s="314"/>
      <c r="K1031" s="312"/>
      <c r="L1031" s="312"/>
      <c r="M1031" s="312"/>
      <c r="N1031" s="312"/>
      <c r="O1031" s="313"/>
      <c r="P1031" s="313"/>
      <c r="Q1031" s="312"/>
      <c r="R1031" s="312"/>
      <c r="S1031" s="312"/>
      <c r="T1031" s="312"/>
      <c r="U1031" s="243"/>
      <c r="V1031" s="243"/>
      <c r="W1031" s="40"/>
      <c r="X1031" s="40"/>
      <c r="Y1031" s="40"/>
      <c r="Z1031" s="40"/>
      <c r="AA1031" s="40"/>
      <c r="AB1031" s="40"/>
      <c r="AC1031" s="40"/>
      <c r="AD1031" s="40"/>
      <c r="AE1031" s="40"/>
      <c r="AF1031" s="40"/>
      <c r="AG1031" s="40"/>
      <c r="AH1031" s="40"/>
      <c r="AI1031" s="40"/>
      <c r="AJ1031" s="40"/>
      <c r="AK1031" s="40"/>
      <c r="AL1031" s="40"/>
      <c r="AM1031" s="40"/>
    </row>
    <row r="1032" spans="1:39" s="145" customFormat="1" x14ac:dyDescent="0.25">
      <c r="A1032" s="310"/>
      <c r="B1032" s="311"/>
      <c r="C1032" s="312"/>
      <c r="D1032" s="312"/>
      <c r="E1032" s="313"/>
      <c r="F1032" s="313"/>
      <c r="G1032" s="312"/>
      <c r="H1032" s="312"/>
      <c r="I1032" s="312"/>
      <c r="J1032" s="314"/>
      <c r="K1032" s="312"/>
      <c r="L1032" s="312"/>
      <c r="M1032" s="312"/>
      <c r="N1032" s="312"/>
      <c r="O1032" s="313"/>
      <c r="P1032" s="313"/>
      <c r="Q1032" s="312"/>
      <c r="R1032" s="312"/>
      <c r="S1032" s="312"/>
      <c r="T1032" s="312"/>
      <c r="U1032" s="243"/>
      <c r="V1032" s="243"/>
      <c r="W1032" s="40"/>
      <c r="X1032" s="40"/>
      <c r="Y1032" s="40"/>
      <c r="Z1032" s="40"/>
      <c r="AA1032" s="40"/>
      <c r="AB1032" s="40"/>
      <c r="AC1032" s="40"/>
      <c r="AD1032" s="40"/>
      <c r="AE1032" s="40"/>
      <c r="AF1032" s="40"/>
      <c r="AG1032" s="40"/>
      <c r="AH1032" s="40"/>
      <c r="AI1032" s="40"/>
      <c r="AJ1032" s="40"/>
      <c r="AK1032" s="40"/>
      <c r="AL1032" s="40"/>
      <c r="AM1032" s="40"/>
    </row>
    <row r="1033" spans="1:39" s="145" customFormat="1" x14ac:dyDescent="0.25">
      <c r="A1033" s="310"/>
      <c r="B1033" s="311"/>
      <c r="C1033" s="312"/>
      <c r="D1033" s="312"/>
      <c r="E1033" s="313"/>
      <c r="F1033" s="313"/>
      <c r="G1033" s="312"/>
      <c r="H1033" s="312"/>
      <c r="I1033" s="312"/>
      <c r="J1033" s="314"/>
      <c r="K1033" s="312"/>
      <c r="L1033" s="312"/>
      <c r="M1033" s="312"/>
      <c r="N1033" s="312"/>
      <c r="O1033" s="313"/>
      <c r="P1033" s="313"/>
      <c r="Q1033" s="312"/>
      <c r="R1033" s="312"/>
      <c r="S1033" s="312"/>
      <c r="T1033" s="312"/>
      <c r="U1033" s="243"/>
      <c r="V1033" s="243"/>
      <c r="W1033" s="40"/>
      <c r="X1033" s="40"/>
      <c r="Y1033" s="40"/>
      <c r="Z1033" s="40"/>
      <c r="AA1033" s="40"/>
      <c r="AB1033" s="40"/>
      <c r="AC1033" s="40"/>
      <c r="AD1033" s="40"/>
      <c r="AE1033" s="40"/>
      <c r="AF1033" s="40"/>
      <c r="AG1033" s="40"/>
      <c r="AH1033" s="40"/>
      <c r="AI1033" s="40"/>
      <c r="AJ1033" s="40"/>
      <c r="AK1033" s="40"/>
      <c r="AL1033" s="40"/>
      <c r="AM1033" s="40"/>
    </row>
    <row r="1034" spans="1:39" s="145" customFormat="1" x14ac:dyDescent="0.25">
      <c r="A1034" s="310"/>
      <c r="B1034" s="311"/>
      <c r="C1034" s="312"/>
      <c r="D1034" s="312"/>
      <c r="E1034" s="313"/>
      <c r="F1034" s="313"/>
      <c r="G1034" s="312"/>
      <c r="H1034" s="312"/>
      <c r="I1034" s="312"/>
      <c r="J1034" s="314"/>
      <c r="K1034" s="312"/>
      <c r="L1034" s="312"/>
      <c r="M1034" s="312"/>
      <c r="N1034" s="312"/>
      <c r="O1034" s="313"/>
      <c r="P1034" s="313"/>
      <c r="Q1034" s="312"/>
      <c r="R1034" s="312"/>
      <c r="S1034" s="312"/>
      <c r="T1034" s="312"/>
      <c r="U1034" s="243"/>
      <c r="V1034" s="243"/>
      <c r="W1034" s="40"/>
      <c r="X1034" s="40"/>
      <c r="Y1034" s="40"/>
      <c r="Z1034" s="40"/>
      <c r="AA1034" s="40"/>
      <c r="AB1034" s="40"/>
      <c r="AC1034" s="40"/>
      <c r="AD1034" s="40"/>
      <c r="AE1034" s="40"/>
      <c r="AF1034" s="40"/>
      <c r="AG1034" s="40"/>
      <c r="AH1034" s="40"/>
      <c r="AI1034" s="40"/>
      <c r="AJ1034" s="40"/>
      <c r="AK1034" s="40"/>
      <c r="AL1034" s="40"/>
      <c r="AM1034" s="40"/>
    </row>
    <row r="1035" spans="1:39" s="145" customFormat="1" x14ac:dyDescent="0.25">
      <c r="A1035" s="315"/>
      <c r="B1035" s="315" t="s">
        <v>1401</v>
      </c>
      <c r="C1035" s="316"/>
      <c r="D1035" s="316"/>
      <c r="E1035" s="316"/>
      <c r="F1035" s="316"/>
      <c r="G1035" s="316"/>
      <c r="H1035" s="316"/>
      <c r="I1035" s="316"/>
      <c r="J1035" s="316"/>
      <c r="K1035" s="316"/>
      <c r="L1035" s="316"/>
      <c r="M1035" s="316"/>
      <c r="N1035" s="316"/>
      <c r="O1035" s="316"/>
      <c r="P1035" s="316"/>
      <c r="Q1035" s="316"/>
      <c r="R1035" s="316"/>
      <c r="S1035" s="316"/>
      <c r="T1035" s="316"/>
      <c r="U1035" s="317"/>
      <c r="V1035" s="317"/>
    </row>
    <row r="1036" spans="1:39" s="145" customFormat="1" x14ac:dyDescent="0.25">
      <c r="A1036" s="315"/>
      <c r="B1036" s="345" t="s">
        <v>1402</v>
      </c>
      <c r="C1036" s="346"/>
      <c r="D1036" s="346"/>
      <c r="E1036" s="346"/>
      <c r="F1036" s="346"/>
      <c r="G1036" s="346"/>
      <c r="H1036" s="346"/>
      <c r="I1036" s="346"/>
      <c r="J1036" s="346"/>
      <c r="K1036" s="346"/>
      <c r="L1036" s="346"/>
      <c r="M1036" s="346"/>
      <c r="N1036" s="346"/>
      <c r="O1036" s="346"/>
      <c r="P1036" s="346"/>
      <c r="Q1036" s="346"/>
      <c r="R1036" s="346"/>
      <c r="S1036" s="346"/>
      <c r="T1036" s="316"/>
      <c r="U1036" s="318"/>
      <c r="V1036" s="318"/>
    </row>
    <row r="1037" spans="1:39" s="145" customFormat="1" x14ac:dyDescent="0.25">
      <c r="A1037" s="315"/>
      <c r="B1037" s="345" t="s">
        <v>1403</v>
      </c>
      <c r="C1037" s="346"/>
      <c r="D1037" s="346"/>
      <c r="E1037" s="346"/>
      <c r="F1037" s="346"/>
      <c r="G1037" s="346"/>
      <c r="H1037" s="346"/>
      <c r="I1037" s="346"/>
      <c r="J1037" s="346"/>
      <c r="K1037" s="346"/>
      <c r="L1037" s="346"/>
      <c r="M1037" s="346"/>
      <c r="N1037" s="346"/>
      <c r="O1037" s="346"/>
      <c r="P1037" s="346"/>
      <c r="Q1037" s="346"/>
      <c r="R1037" s="346"/>
      <c r="S1037" s="346"/>
      <c r="T1037" s="316"/>
      <c r="U1037" s="318"/>
      <c r="V1037" s="318"/>
    </row>
    <row r="1038" spans="1:39" s="145" customFormat="1" x14ac:dyDescent="0.25">
      <c r="A1038" s="315"/>
      <c r="B1038" s="345" t="s">
        <v>1404</v>
      </c>
      <c r="C1038" s="346"/>
      <c r="D1038" s="346"/>
      <c r="E1038" s="346"/>
      <c r="F1038" s="346"/>
      <c r="G1038" s="346"/>
      <c r="H1038" s="346"/>
      <c r="I1038" s="346"/>
      <c r="J1038" s="346"/>
      <c r="K1038" s="346"/>
      <c r="L1038" s="346"/>
      <c r="M1038" s="346"/>
      <c r="N1038" s="346"/>
      <c r="O1038" s="346"/>
      <c r="P1038" s="346"/>
      <c r="Q1038" s="346"/>
      <c r="R1038" s="346"/>
      <c r="S1038" s="346"/>
      <c r="T1038" s="316"/>
      <c r="U1038" s="318"/>
      <c r="V1038" s="318"/>
    </row>
    <row r="1039" spans="1:39" s="145" customFormat="1" x14ac:dyDescent="0.25">
      <c r="A1039" s="315"/>
      <c r="B1039" s="345" t="s">
        <v>1405</v>
      </c>
      <c r="C1039" s="346"/>
      <c r="D1039" s="346"/>
      <c r="E1039" s="346"/>
      <c r="F1039" s="346"/>
      <c r="G1039" s="346"/>
      <c r="H1039" s="346"/>
      <c r="I1039" s="346"/>
      <c r="J1039" s="346"/>
      <c r="K1039" s="346"/>
      <c r="L1039" s="346"/>
      <c r="M1039" s="346"/>
      <c r="N1039" s="346"/>
      <c r="O1039" s="346"/>
      <c r="P1039" s="346"/>
      <c r="Q1039" s="346"/>
      <c r="R1039" s="346"/>
      <c r="S1039" s="346"/>
      <c r="T1039" s="316"/>
      <c r="U1039" s="318"/>
      <c r="V1039" s="318"/>
    </row>
    <row r="1040" spans="1:39" s="145" customFormat="1" x14ac:dyDescent="0.25">
      <c r="A1040" s="315"/>
      <c r="B1040" s="345" t="s">
        <v>1406</v>
      </c>
      <c r="C1040" s="346"/>
      <c r="D1040" s="346"/>
      <c r="E1040" s="346"/>
      <c r="F1040" s="346"/>
      <c r="G1040" s="346"/>
      <c r="H1040" s="346"/>
      <c r="I1040" s="346"/>
      <c r="J1040" s="346"/>
      <c r="K1040" s="346"/>
      <c r="L1040" s="346"/>
      <c r="M1040" s="346"/>
      <c r="N1040" s="346"/>
      <c r="O1040" s="346"/>
      <c r="P1040" s="346"/>
      <c r="Q1040" s="346"/>
      <c r="R1040" s="346"/>
      <c r="S1040" s="346"/>
      <c r="T1040" s="316"/>
      <c r="U1040" s="318"/>
      <c r="V1040" s="318"/>
    </row>
    <row r="1041" spans="1:22" s="145" customFormat="1" x14ac:dyDescent="0.25">
      <c r="A1041" s="315"/>
      <c r="B1041" s="345" t="s">
        <v>1407</v>
      </c>
      <c r="C1041" s="346"/>
      <c r="D1041" s="346"/>
      <c r="E1041" s="346"/>
      <c r="F1041" s="346"/>
      <c r="G1041" s="346"/>
      <c r="H1041" s="346"/>
      <c r="I1041" s="346"/>
      <c r="J1041" s="346"/>
      <c r="K1041" s="346"/>
      <c r="L1041" s="346"/>
      <c r="M1041" s="346"/>
      <c r="N1041" s="346"/>
      <c r="O1041" s="346"/>
      <c r="P1041" s="346"/>
      <c r="Q1041" s="346"/>
      <c r="R1041" s="346"/>
      <c r="S1041" s="346"/>
      <c r="T1041" s="316"/>
      <c r="U1041" s="318"/>
      <c r="V1041" s="318"/>
    </row>
    <row r="1042" spans="1:22" s="145" customFormat="1" x14ac:dyDescent="0.25">
      <c r="A1042" s="315"/>
      <c r="B1042" s="345" t="s">
        <v>1408</v>
      </c>
      <c r="C1042" s="346"/>
      <c r="D1042" s="346"/>
      <c r="E1042" s="346"/>
      <c r="F1042" s="346"/>
      <c r="G1042" s="346"/>
      <c r="H1042" s="346"/>
      <c r="I1042" s="346"/>
      <c r="J1042" s="346"/>
      <c r="K1042" s="346"/>
      <c r="L1042" s="346"/>
      <c r="M1042" s="346"/>
      <c r="N1042" s="346"/>
      <c r="O1042" s="346"/>
      <c r="P1042" s="346"/>
      <c r="Q1042" s="346"/>
      <c r="R1042" s="346"/>
      <c r="S1042" s="346"/>
      <c r="T1042" s="316"/>
      <c r="U1042" s="318"/>
      <c r="V1042" s="318"/>
    </row>
    <row r="1043" spans="1:22" s="145" customFormat="1" x14ac:dyDescent="0.25">
      <c r="A1043" s="315"/>
      <c r="B1043" s="345" t="s">
        <v>1409</v>
      </c>
      <c r="C1043" s="346"/>
      <c r="D1043" s="346"/>
      <c r="E1043" s="346"/>
      <c r="F1043" s="346"/>
      <c r="G1043" s="346"/>
      <c r="H1043" s="346"/>
      <c r="I1043" s="346"/>
      <c r="J1043" s="346"/>
      <c r="K1043" s="346"/>
      <c r="L1043" s="346"/>
      <c r="M1043" s="346"/>
      <c r="N1043" s="346"/>
      <c r="O1043" s="346"/>
      <c r="P1043" s="346"/>
      <c r="Q1043" s="346"/>
      <c r="R1043" s="346"/>
      <c r="S1043" s="346"/>
      <c r="T1043" s="316"/>
      <c r="U1043" s="318"/>
      <c r="V1043" s="318"/>
    </row>
    <row r="1044" spans="1:22" s="145" customFormat="1" x14ac:dyDescent="0.25">
      <c r="A1044" s="315"/>
      <c r="B1044" s="345" t="s">
        <v>1410</v>
      </c>
      <c r="C1044" s="346"/>
      <c r="D1044" s="346"/>
      <c r="E1044" s="346"/>
      <c r="F1044" s="346"/>
      <c r="G1044" s="346"/>
      <c r="H1044" s="346"/>
      <c r="I1044" s="346"/>
      <c r="J1044" s="346"/>
      <c r="K1044" s="346"/>
      <c r="L1044" s="346"/>
      <c r="M1044" s="346"/>
      <c r="N1044" s="346"/>
      <c r="O1044" s="346"/>
      <c r="P1044" s="346"/>
      <c r="Q1044" s="316"/>
      <c r="R1044" s="316"/>
      <c r="S1044" s="316"/>
      <c r="T1044" s="316"/>
      <c r="U1044" s="318"/>
      <c r="V1044" s="318"/>
    </row>
    <row r="1045" spans="1:22" s="145" customFormat="1" x14ac:dyDescent="0.25">
      <c r="A1045" s="315"/>
      <c r="B1045" s="345" t="s">
        <v>1411</v>
      </c>
      <c r="C1045" s="346"/>
      <c r="D1045" s="346"/>
      <c r="E1045" s="346"/>
      <c r="F1045" s="346"/>
      <c r="G1045" s="346"/>
      <c r="H1045" s="346"/>
      <c r="I1045" s="346"/>
      <c r="J1045" s="346"/>
      <c r="K1045" s="346"/>
      <c r="L1045" s="346"/>
      <c r="M1045" s="346"/>
      <c r="N1045" s="346"/>
      <c r="O1045" s="346"/>
      <c r="P1045" s="346"/>
      <c r="Q1045" s="346"/>
      <c r="R1045" s="346"/>
      <c r="S1045" s="346"/>
      <c r="T1045" s="316"/>
      <c r="U1045" s="318"/>
      <c r="V1045" s="318"/>
    </row>
    <row r="1046" spans="1:22" s="145" customFormat="1" x14ac:dyDescent="0.25">
      <c r="A1046" s="315"/>
      <c r="B1046" s="345" t="s">
        <v>1412</v>
      </c>
      <c r="C1046" s="346"/>
      <c r="D1046" s="346"/>
      <c r="E1046" s="346"/>
      <c r="F1046" s="346"/>
      <c r="G1046" s="346"/>
      <c r="H1046" s="346"/>
      <c r="I1046" s="346"/>
      <c r="J1046" s="316"/>
      <c r="K1046" s="316"/>
      <c r="L1046" s="316"/>
      <c r="M1046" s="316"/>
      <c r="N1046" s="316"/>
      <c r="O1046" s="316"/>
      <c r="P1046" s="316"/>
      <c r="Q1046" s="316"/>
      <c r="R1046" s="316"/>
      <c r="S1046" s="316"/>
      <c r="T1046" s="316"/>
      <c r="U1046" s="318"/>
      <c r="V1046" s="318"/>
    </row>
    <row r="1047" spans="1:22" s="145" customFormat="1" x14ac:dyDescent="0.25">
      <c r="A1047" s="315"/>
      <c r="B1047" s="345" t="s">
        <v>1413</v>
      </c>
      <c r="C1047" s="346"/>
      <c r="D1047" s="346"/>
      <c r="E1047" s="346"/>
      <c r="F1047" s="346"/>
      <c r="G1047" s="346"/>
      <c r="H1047" s="346"/>
      <c r="I1047" s="346"/>
      <c r="J1047" s="316"/>
      <c r="K1047" s="316"/>
      <c r="L1047" s="316"/>
      <c r="M1047" s="316"/>
      <c r="N1047" s="316"/>
      <c r="O1047" s="316"/>
      <c r="P1047" s="316"/>
      <c r="Q1047" s="316"/>
      <c r="R1047" s="316"/>
      <c r="S1047" s="316"/>
      <c r="T1047" s="316"/>
      <c r="U1047" s="318"/>
      <c r="V1047" s="318"/>
    </row>
    <row r="1048" spans="1:22" s="145" customFormat="1" x14ac:dyDescent="0.25">
      <c r="A1048" s="315"/>
      <c r="B1048" s="345" t="s">
        <v>1414</v>
      </c>
      <c r="C1048" s="346"/>
      <c r="D1048" s="346"/>
      <c r="E1048" s="346"/>
      <c r="F1048" s="346"/>
      <c r="G1048" s="346"/>
      <c r="H1048" s="346"/>
      <c r="I1048" s="346"/>
      <c r="J1048" s="316"/>
      <c r="K1048" s="316"/>
      <c r="L1048" s="316"/>
      <c r="M1048" s="316"/>
      <c r="N1048" s="316"/>
      <c r="O1048" s="316"/>
      <c r="P1048" s="316"/>
      <c r="Q1048" s="316"/>
      <c r="R1048" s="316"/>
      <c r="S1048" s="316"/>
      <c r="T1048" s="316"/>
      <c r="U1048" s="318"/>
      <c r="V1048" s="318"/>
    </row>
    <row r="1049" spans="1:22" s="145" customFormat="1" x14ac:dyDescent="0.25">
      <c r="C1049" s="148"/>
      <c r="D1049" s="148"/>
      <c r="E1049" s="148"/>
      <c r="F1049" s="148"/>
      <c r="G1049" s="148"/>
      <c r="H1049" s="148"/>
      <c r="I1049" s="148"/>
      <c r="J1049" s="148"/>
      <c r="K1049" s="148"/>
      <c r="L1049" s="148"/>
      <c r="M1049" s="148"/>
      <c r="N1049" s="148"/>
      <c r="O1049" s="148"/>
      <c r="P1049" s="148"/>
      <c r="Q1049" s="148"/>
      <c r="R1049" s="148"/>
      <c r="S1049" s="148"/>
      <c r="T1049" s="148"/>
    </row>
    <row r="1050" spans="1:22" s="145" customFormat="1" x14ac:dyDescent="0.25">
      <c r="A1050" s="319"/>
      <c r="B1050" s="319"/>
      <c r="C1050" s="320"/>
      <c r="D1050" s="320"/>
      <c r="E1050" s="320"/>
      <c r="F1050" s="320"/>
      <c r="G1050" s="321"/>
      <c r="H1050" s="321"/>
      <c r="I1050" s="321"/>
      <c r="J1050" s="321"/>
      <c r="K1050" s="321"/>
      <c r="L1050" s="320" t="s">
        <v>1415</v>
      </c>
      <c r="M1050" s="320"/>
      <c r="N1050" s="320"/>
      <c r="O1050" s="320"/>
      <c r="P1050" s="320"/>
      <c r="Q1050" s="320"/>
      <c r="R1050" s="320"/>
      <c r="S1050" s="320"/>
      <c r="T1050" s="320"/>
    </row>
    <row r="1051" spans="1:22" s="145" customFormat="1" x14ac:dyDescent="0.25">
      <c r="C1051" s="148"/>
      <c r="D1051" s="148"/>
      <c r="E1051" s="148"/>
      <c r="F1051" s="148"/>
      <c r="G1051" s="148"/>
      <c r="H1051" s="148"/>
      <c r="I1051" s="148"/>
      <c r="J1051" s="148"/>
      <c r="K1051" s="148"/>
      <c r="L1051" s="148"/>
      <c r="M1051" s="148"/>
      <c r="N1051" s="148"/>
      <c r="O1051" s="148"/>
      <c r="P1051" s="148"/>
      <c r="Q1051" s="148"/>
      <c r="R1051" s="148"/>
      <c r="S1051" s="148"/>
      <c r="T1051" s="148"/>
    </row>
    <row r="1052" spans="1:22" s="145" customFormat="1" x14ac:dyDescent="0.25">
      <c r="C1052" s="148"/>
      <c r="D1052" s="148"/>
      <c r="E1052" s="148"/>
      <c r="F1052" s="148"/>
      <c r="G1052" s="148"/>
      <c r="H1052" s="148"/>
      <c r="I1052" s="148"/>
      <c r="J1052" s="148"/>
      <c r="K1052" s="148"/>
      <c r="L1052" s="148"/>
      <c r="M1052" s="148"/>
      <c r="N1052" s="148"/>
      <c r="O1052" s="148"/>
      <c r="P1052" s="148"/>
      <c r="Q1052" s="148"/>
      <c r="R1052" s="148"/>
      <c r="S1052" s="148"/>
      <c r="T1052" s="148"/>
    </row>
    <row r="1053" spans="1:22" s="145" customFormat="1" x14ac:dyDescent="0.25">
      <c r="C1053" s="148"/>
      <c r="D1053" s="148"/>
      <c r="E1053" s="148"/>
      <c r="F1053" s="148"/>
      <c r="G1053" s="148"/>
      <c r="H1053" s="148"/>
      <c r="I1053" s="148"/>
      <c r="J1053" s="148"/>
      <c r="K1053" s="148"/>
      <c r="L1053" s="148"/>
      <c r="M1053" s="148"/>
      <c r="N1053" s="148"/>
      <c r="O1053" s="148"/>
      <c r="P1053" s="148"/>
      <c r="Q1053" s="148"/>
      <c r="R1053" s="148"/>
      <c r="S1053" s="148"/>
      <c r="T1053" s="148"/>
    </row>
    <row r="1054" spans="1:22" s="145" customFormat="1" x14ac:dyDescent="0.25">
      <c r="C1054" s="148"/>
      <c r="D1054" s="148"/>
      <c r="E1054" s="148"/>
      <c r="F1054" s="148"/>
      <c r="G1054" s="148"/>
      <c r="H1054" s="148"/>
      <c r="I1054" s="148"/>
      <c r="J1054" s="148"/>
      <c r="K1054" s="148"/>
      <c r="L1054" s="148"/>
      <c r="M1054" s="148"/>
      <c r="N1054" s="148"/>
      <c r="O1054" s="148"/>
      <c r="P1054" s="148"/>
      <c r="Q1054" s="148"/>
      <c r="R1054" s="148"/>
      <c r="S1054" s="148"/>
      <c r="T1054" s="148"/>
    </row>
    <row r="1055" spans="1:22" s="145" customFormat="1" x14ac:dyDescent="0.25">
      <c r="C1055" s="148"/>
      <c r="D1055" s="148"/>
      <c r="E1055" s="148"/>
      <c r="F1055" s="148"/>
      <c r="G1055" s="148"/>
      <c r="H1055" s="148"/>
      <c r="I1055" s="148"/>
      <c r="J1055" s="148"/>
      <c r="K1055" s="148"/>
      <c r="L1055" s="148"/>
      <c r="M1055" s="148"/>
      <c r="N1055" s="148"/>
      <c r="O1055" s="148"/>
      <c r="P1055" s="148"/>
      <c r="Q1055" s="148"/>
      <c r="R1055" s="148"/>
      <c r="S1055" s="148"/>
      <c r="T1055" s="148"/>
    </row>
    <row r="1056" spans="1:22" s="145" customFormat="1" x14ac:dyDescent="0.25">
      <c r="C1056" s="148"/>
      <c r="D1056" s="148"/>
      <c r="E1056" s="148"/>
      <c r="F1056" s="148"/>
      <c r="G1056" s="148"/>
      <c r="H1056" s="148"/>
      <c r="I1056" s="148"/>
      <c r="J1056" s="148"/>
      <c r="K1056" s="148"/>
      <c r="L1056" s="148"/>
      <c r="M1056" s="148"/>
      <c r="N1056" s="148"/>
      <c r="O1056" s="148"/>
      <c r="P1056" s="148"/>
      <c r="Q1056" s="148"/>
      <c r="R1056" s="148"/>
      <c r="S1056" s="148"/>
      <c r="T1056" s="148"/>
    </row>
    <row r="1057" spans="3:20" s="145" customFormat="1" x14ac:dyDescent="0.25">
      <c r="C1057" s="148"/>
      <c r="D1057" s="148"/>
      <c r="E1057" s="148"/>
      <c r="F1057" s="148"/>
      <c r="G1057" s="148"/>
      <c r="H1057" s="148"/>
      <c r="I1057" s="148"/>
      <c r="J1057" s="148"/>
      <c r="K1057" s="148"/>
      <c r="L1057" s="148"/>
      <c r="M1057" s="148"/>
      <c r="N1057" s="148"/>
      <c r="O1057" s="148"/>
      <c r="P1057" s="148"/>
      <c r="Q1057" s="148"/>
      <c r="R1057" s="148"/>
      <c r="S1057" s="148"/>
      <c r="T1057" s="148"/>
    </row>
    <row r="1058" spans="3:20" s="145" customFormat="1" x14ac:dyDescent="0.25">
      <c r="C1058" s="148"/>
      <c r="D1058" s="148"/>
      <c r="E1058" s="148"/>
      <c r="F1058" s="148"/>
      <c r="G1058" s="148"/>
      <c r="H1058" s="148"/>
      <c r="I1058" s="148"/>
      <c r="J1058" s="148"/>
      <c r="K1058" s="148"/>
      <c r="L1058" s="148"/>
      <c r="M1058" s="148"/>
      <c r="N1058" s="148"/>
      <c r="O1058" s="148"/>
      <c r="P1058" s="148"/>
      <c r="Q1058" s="148"/>
      <c r="R1058" s="148"/>
      <c r="S1058" s="148"/>
      <c r="T1058" s="148"/>
    </row>
    <row r="1059" spans="3:20" s="145" customFormat="1" x14ac:dyDescent="0.25">
      <c r="C1059" s="148"/>
      <c r="D1059" s="148"/>
      <c r="E1059" s="148"/>
      <c r="F1059" s="148"/>
      <c r="G1059" s="148"/>
      <c r="H1059" s="148"/>
      <c r="I1059" s="148"/>
      <c r="J1059" s="148"/>
      <c r="K1059" s="148"/>
      <c r="L1059" s="148"/>
      <c r="M1059" s="148"/>
      <c r="N1059" s="148"/>
      <c r="O1059" s="148"/>
      <c r="P1059" s="148"/>
      <c r="Q1059" s="148"/>
      <c r="R1059" s="148"/>
      <c r="S1059" s="148"/>
      <c r="T1059" s="148"/>
    </row>
    <row r="1060" spans="3:20" s="145" customFormat="1" x14ac:dyDescent="0.25">
      <c r="C1060" s="148"/>
      <c r="D1060" s="148"/>
      <c r="E1060" s="148"/>
      <c r="F1060" s="148"/>
      <c r="G1060" s="148"/>
      <c r="H1060" s="148"/>
      <c r="I1060" s="148"/>
      <c r="J1060" s="148"/>
      <c r="K1060" s="148"/>
      <c r="L1060" s="148"/>
      <c r="M1060" s="148"/>
      <c r="N1060" s="148"/>
      <c r="O1060" s="148"/>
      <c r="P1060" s="148"/>
      <c r="Q1060" s="148"/>
      <c r="R1060" s="148"/>
      <c r="S1060" s="148"/>
      <c r="T1060" s="148"/>
    </row>
    <row r="1061" spans="3:20" s="145" customFormat="1" x14ac:dyDescent="0.25">
      <c r="C1061" s="148"/>
      <c r="D1061" s="148"/>
      <c r="E1061" s="148"/>
      <c r="F1061" s="148"/>
      <c r="G1061" s="148"/>
      <c r="H1061" s="148"/>
      <c r="I1061" s="148"/>
      <c r="J1061" s="148"/>
      <c r="K1061" s="148"/>
      <c r="L1061" s="148"/>
      <c r="M1061" s="148"/>
      <c r="N1061" s="148"/>
      <c r="O1061" s="148"/>
      <c r="P1061" s="148"/>
      <c r="Q1061" s="148"/>
      <c r="R1061" s="148"/>
      <c r="S1061" s="148"/>
      <c r="T1061" s="148"/>
    </row>
    <row r="1062" spans="3:20" s="145" customFormat="1" x14ac:dyDescent="0.25">
      <c r="C1062" s="148"/>
      <c r="D1062" s="148"/>
      <c r="E1062" s="148"/>
      <c r="F1062" s="148"/>
      <c r="G1062" s="148"/>
      <c r="H1062" s="148"/>
      <c r="I1062" s="148"/>
      <c r="J1062" s="148"/>
      <c r="K1062" s="148"/>
      <c r="L1062" s="148"/>
      <c r="M1062" s="148"/>
      <c r="N1062" s="148"/>
      <c r="O1062" s="148"/>
      <c r="P1062" s="148"/>
      <c r="Q1062" s="148"/>
      <c r="R1062" s="148"/>
      <c r="S1062" s="148"/>
      <c r="T1062" s="148"/>
    </row>
    <row r="1063" spans="3:20" s="145" customFormat="1" x14ac:dyDescent="0.25">
      <c r="C1063" s="148"/>
      <c r="D1063" s="148"/>
      <c r="E1063" s="148"/>
      <c r="F1063" s="148"/>
      <c r="G1063" s="148"/>
      <c r="H1063" s="148"/>
      <c r="I1063" s="148"/>
      <c r="J1063" s="148"/>
      <c r="K1063" s="148"/>
      <c r="L1063" s="148"/>
      <c r="M1063" s="148"/>
      <c r="N1063" s="148"/>
      <c r="O1063" s="148"/>
      <c r="P1063" s="148"/>
      <c r="Q1063" s="148"/>
      <c r="R1063" s="148"/>
      <c r="S1063" s="148"/>
      <c r="T1063" s="148"/>
    </row>
    <row r="1064" spans="3:20" s="145" customFormat="1" x14ac:dyDescent="0.25">
      <c r="C1064" s="148"/>
      <c r="D1064" s="148"/>
      <c r="E1064" s="148"/>
      <c r="F1064" s="148"/>
      <c r="G1064" s="148"/>
      <c r="H1064" s="148"/>
      <c r="I1064" s="148"/>
      <c r="J1064" s="148"/>
      <c r="K1064" s="148"/>
      <c r="L1064" s="148"/>
      <c r="M1064" s="148"/>
      <c r="N1064" s="148"/>
      <c r="O1064" s="148"/>
      <c r="P1064" s="148"/>
      <c r="Q1064" s="148"/>
      <c r="R1064" s="148"/>
      <c r="S1064" s="148"/>
      <c r="T1064" s="148"/>
    </row>
    <row r="1065" spans="3:20" s="145" customFormat="1" x14ac:dyDescent="0.25">
      <c r="C1065" s="148"/>
      <c r="D1065" s="148"/>
      <c r="E1065" s="148"/>
      <c r="F1065" s="148"/>
      <c r="G1065" s="148"/>
      <c r="H1065" s="148"/>
      <c r="I1065" s="148"/>
      <c r="J1065" s="148"/>
      <c r="K1065" s="148"/>
      <c r="L1065" s="148"/>
      <c r="M1065" s="148"/>
      <c r="N1065" s="148"/>
      <c r="O1065" s="148"/>
      <c r="P1065" s="148"/>
      <c r="Q1065" s="148"/>
      <c r="R1065" s="148"/>
      <c r="S1065" s="148"/>
      <c r="T1065" s="148"/>
    </row>
    <row r="1066" spans="3:20" s="145" customFormat="1" x14ac:dyDescent="0.25">
      <c r="C1066" s="148"/>
      <c r="D1066" s="148"/>
      <c r="E1066" s="148"/>
      <c r="F1066" s="148"/>
      <c r="G1066" s="148"/>
      <c r="H1066" s="148"/>
      <c r="I1066" s="148"/>
      <c r="J1066" s="148"/>
      <c r="K1066" s="148"/>
      <c r="L1066" s="148"/>
      <c r="M1066" s="148"/>
      <c r="N1066" s="148"/>
      <c r="O1066" s="148"/>
      <c r="P1066" s="148"/>
      <c r="Q1066" s="148"/>
      <c r="R1066" s="148"/>
      <c r="S1066" s="148"/>
      <c r="T1066" s="148"/>
    </row>
    <row r="1067" spans="3:20" s="145" customFormat="1" x14ac:dyDescent="0.25">
      <c r="C1067" s="148"/>
      <c r="D1067" s="148"/>
      <c r="E1067" s="148"/>
      <c r="F1067" s="148"/>
      <c r="G1067" s="148"/>
      <c r="H1067" s="148"/>
      <c r="I1067" s="148"/>
      <c r="J1067" s="148"/>
      <c r="K1067" s="148"/>
      <c r="L1067" s="148"/>
      <c r="M1067" s="148"/>
      <c r="N1067" s="148"/>
      <c r="O1067" s="148"/>
      <c r="P1067" s="148"/>
      <c r="Q1067" s="148"/>
      <c r="R1067" s="148"/>
      <c r="S1067" s="148"/>
      <c r="T1067" s="148"/>
    </row>
  </sheetData>
  <mergeCells count="126">
    <mergeCell ref="A2:T2"/>
    <mergeCell ref="A4:A7"/>
    <mergeCell ref="B4:B7"/>
    <mergeCell ref="C4:C6"/>
    <mergeCell ref="D4:O4"/>
    <mergeCell ref="P4:S4"/>
    <mergeCell ref="T4:T6"/>
    <mergeCell ref="D5:D6"/>
    <mergeCell ref="E5:I5"/>
    <mergeCell ref="J5:K6"/>
    <mergeCell ref="L5:L6"/>
    <mergeCell ref="M5:M6"/>
    <mergeCell ref="N5:N6"/>
    <mergeCell ref="O5:O6"/>
    <mergeCell ref="P5:P6"/>
    <mergeCell ref="Q5:Q6"/>
    <mergeCell ref="R5:R6"/>
    <mergeCell ref="S5:S6"/>
    <mergeCell ref="A9:B9"/>
    <mergeCell ref="A10:B10"/>
    <mergeCell ref="A11:B11"/>
    <mergeCell ref="A213:B213"/>
    <mergeCell ref="A218:B218"/>
    <mergeCell ref="A227:B227"/>
    <mergeCell ref="A234:B234"/>
    <mergeCell ref="A256:B256"/>
    <mergeCell ref="A258:B258"/>
    <mergeCell ref="A266:B266"/>
    <mergeCell ref="A269:B269"/>
    <mergeCell ref="A285:B285"/>
    <mergeCell ref="A302:B302"/>
    <mergeCell ref="A305:B305"/>
    <mergeCell ref="A308:B308"/>
    <mergeCell ref="A314:B314"/>
    <mergeCell ref="A328:B328"/>
    <mergeCell ref="A334:B334"/>
    <mergeCell ref="A349:B349"/>
    <mergeCell ref="A360:B360"/>
    <mergeCell ref="A370:B370"/>
    <mergeCell ref="A376:B376"/>
    <mergeCell ref="A379:B379"/>
    <mergeCell ref="A385:B385"/>
    <mergeCell ref="A392:B392"/>
    <mergeCell ref="A397:B397"/>
    <mergeCell ref="A409:B409"/>
    <mergeCell ref="A410:B410"/>
    <mergeCell ref="A428:B428"/>
    <mergeCell ref="A446:B446"/>
    <mergeCell ref="A450:B450"/>
    <mergeCell ref="A453:B453"/>
    <mergeCell ref="A454:B454"/>
    <mergeCell ref="A455:B455"/>
    <mergeCell ref="A627:B627"/>
    <mergeCell ref="A629:B629"/>
    <mergeCell ref="A633:B633"/>
    <mergeCell ref="A642:B642"/>
    <mergeCell ref="A652:B652"/>
    <mergeCell ref="A657:B657"/>
    <mergeCell ref="A664:B664"/>
    <mergeCell ref="A668:B668"/>
    <mergeCell ref="A671:B671"/>
    <mergeCell ref="A687:B687"/>
    <mergeCell ref="A691:B691"/>
    <mergeCell ref="A693:B693"/>
    <mergeCell ref="A696:B696"/>
    <mergeCell ref="A699:B699"/>
    <mergeCell ref="A707:B707"/>
    <mergeCell ref="A731:B731"/>
    <mergeCell ref="A738:B738"/>
    <mergeCell ref="A747:B747"/>
    <mergeCell ref="A752:B752"/>
    <mergeCell ref="A755:B755"/>
    <mergeCell ref="A757:B757"/>
    <mergeCell ref="A761:B761"/>
    <mergeCell ref="A770:B770"/>
    <mergeCell ref="A789:B789"/>
    <mergeCell ref="A791:B791"/>
    <mergeCell ref="A812:B812"/>
    <mergeCell ref="A813:B813"/>
    <mergeCell ref="A814:B814"/>
    <mergeCell ref="A844:B844"/>
    <mergeCell ref="A846:B846"/>
    <mergeCell ref="A848:B848"/>
    <mergeCell ref="A865:B865"/>
    <mergeCell ref="A867:B867"/>
    <mergeCell ref="A876:B876"/>
    <mergeCell ref="A878:B878"/>
    <mergeCell ref="A884:B884"/>
    <mergeCell ref="A891:B891"/>
    <mergeCell ref="A896:B896"/>
    <mergeCell ref="A900:B900"/>
    <mergeCell ref="A903:B903"/>
    <mergeCell ref="A908:B908"/>
    <mergeCell ref="A912:B912"/>
    <mergeCell ref="A915:B915"/>
    <mergeCell ref="A921:B921"/>
    <mergeCell ref="A924:B924"/>
    <mergeCell ref="A939:B939"/>
    <mergeCell ref="A948:B948"/>
    <mergeCell ref="A949:S949"/>
    <mergeCell ref="A950:B950"/>
    <mergeCell ref="A951:B951"/>
    <mergeCell ref="A989:B989"/>
    <mergeCell ref="A991:B991"/>
    <mergeCell ref="A993:B993"/>
    <mergeCell ref="A995:B995"/>
    <mergeCell ref="A998:B998"/>
    <mergeCell ref="A1013:B1013"/>
    <mergeCell ref="A1018:B1018"/>
    <mergeCell ref="A1021:B1021"/>
    <mergeCell ref="A1022:B1022"/>
    <mergeCell ref="A1026:B1026"/>
    <mergeCell ref="A1029:B1029"/>
    <mergeCell ref="B1036:S1036"/>
    <mergeCell ref="B1037:S1037"/>
    <mergeCell ref="B1038:S1038"/>
    <mergeCell ref="B1039:S1039"/>
    <mergeCell ref="B1040:S1040"/>
    <mergeCell ref="B1041:S1041"/>
    <mergeCell ref="B1042:S1042"/>
    <mergeCell ref="B1043:S1043"/>
    <mergeCell ref="B1044:P1044"/>
    <mergeCell ref="B1045:S1045"/>
    <mergeCell ref="B1046:I1046"/>
    <mergeCell ref="B1047:I1047"/>
    <mergeCell ref="B1048:I1048"/>
  </mergeCells>
  <pageMargins left="0.51181102362204722" right="0.11811023622047245" top="0.55905511811023623" bottom="0.40944881889763785" header="0.31496062992125984" footer="0.31496062992125984"/>
  <pageSetup paperSize="9" scale="70" firstPageNumber="43" fitToWidth="0" fitToHeight="0" orientation="landscape" useFirstPageNumber="1" r:id="rId1"/>
  <headerFooter>
    <oddHeader>&amp;C&amp;"Times New Roman,Regular "&amp;18&amp;P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Таблица 1</vt:lpstr>
      <vt:lpstr>Таблица 2</vt:lpstr>
      <vt:lpstr>Таблица 3 </vt:lpstr>
      <vt:lpstr>'Таблица 1'!Область_печати</vt:lpstr>
      <vt:lpstr>'Таблица 2'!Область_печати</vt:lpstr>
      <vt:lpstr>'Таблица 3 '!Область_печати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Фонд КапРемонта</cp:lastModifiedBy>
  <cp:revision>97</cp:revision>
  <dcterms:created xsi:type="dcterms:W3CDTF">2019-01-09T06:44:55Z</dcterms:created>
  <dcterms:modified xsi:type="dcterms:W3CDTF">2026-10-06T01:22:39Z</dcterms:modified>
</cp:coreProperties>
</file>